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iago.resende\Documents\01 - AMBULANCIA\planilha corrigida pelo setor de contratos\"/>
    </mc:Choice>
  </mc:AlternateContent>
  <bookViews>
    <workbookView xWindow="0" yWindow="0" windowWidth="28800" windowHeight="12330" tabRatio="869" firstSheet="2" activeTab="2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85" r:id="rId10"/>
    <sheet name="Médico - Noturno" sheetId="86" r:id="rId11"/>
    <sheet name="Uniformes" sheetId="82" r:id="rId12"/>
    <sheet name="Materiais" sheetId="90" r:id="rId13"/>
    <sheet name="Equipamentos" sheetId="59" r:id="rId14"/>
  </sheets>
  <definedNames>
    <definedName name="_xlnm.Print_Area" localSheetId="7">'Enfermeiro - Diurno'!$A$1:$E$111</definedName>
    <definedName name="_xlnm.Print_Area" localSheetId="8">'Enfermeiro - Noturno'!$A$1:$E$112</definedName>
    <definedName name="_xlnm.Print_Area" localSheetId="13">Equipamentos!$A$1:$H$36</definedName>
    <definedName name="_xlnm.Print_Area" localSheetId="12">Materiais!$A$1:$H$28</definedName>
    <definedName name="_xlnm.Print_Area" localSheetId="9">'Médico - Diurno '!$A$1:$E$122</definedName>
    <definedName name="_xlnm.Print_Area" localSheetId="10">'Médico - Noturno'!$A$1:$E$122</definedName>
    <definedName name="_xlnm.Print_Area" localSheetId="3">'Motorista - Diurno'!$A$1:$G$111</definedName>
    <definedName name="_xlnm.Print_Area" localSheetId="4">'Motorista - Noturno'!$A$1:$G$112</definedName>
    <definedName name="_xlnm.Print_Area" localSheetId="2">Planilha!$A$1:$H$36</definedName>
    <definedName name="_xlnm.Print_Area" localSheetId="5">'Técnico de Enfermagem - Diurno'!$A$1:$E$112</definedName>
    <definedName name="_xlnm.Print_Area" localSheetId="6">'Técnico de Enfermagem - Noturno'!$A$1:$E$112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87" l="1"/>
  <c r="H36" i="87"/>
  <c r="H22" i="59"/>
  <c r="H21" i="59"/>
  <c r="H20" i="59"/>
  <c r="H19" i="59"/>
  <c r="H17" i="59"/>
  <c r="H8" i="59"/>
  <c r="H8" i="90"/>
  <c r="H19" i="90" s="1"/>
  <c r="H16" i="90"/>
  <c r="H21" i="90" s="1"/>
  <c r="H7" i="82"/>
  <c r="E84" i="86"/>
  <c r="E69" i="86" s="1"/>
  <c r="D84" i="86"/>
  <c r="D69" i="86" s="1"/>
  <c r="E74" i="86"/>
  <c r="D74" i="86"/>
  <c r="E64" i="86"/>
  <c r="E63" i="86"/>
  <c r="C70" i="86"/>
  <c r="E60" i="86"/>
  <c r="E59" i="86"/>
  <c r="E58" i="86"/>
  <c r="E57" i="86"/>
  <c r="E56" i="86"/>
  <c r="E55" i="86"/>
  <c r="D60" i="86"/>
  <c r="D59" i="86"/>
  <c r="D58" i="86"/>
  <c r="D57" i="86"/>
  <c r="D56" i="86"/>
  <c r="D55" i="86"/>
  <c r="C60" i="86"/>
  <c r="E52" i="86"/>
  <c r="D52" i="86"/>
  <c r="E51" i="86"/>
  <c r="D51" i="86"/>
  <c r="E50" i="86"/>
  <c r="D50" i="86"/>
  <c r="E49" i="86"/>
  <c r="D49" i="86"/>
  <c r="E47" i="86"/>
  <c r="D47" i="86"/>
  <c r="E40" i="86"/>
  <c r="E39" i="86"/>
  <c r="E38" i="86"/>
  <c r="E37" i="86"/>
  <c r="E36" i="86"/>
  <c r="E35" i="86"/>
  <c r="E34" i="86"/>
  <c r="E33" i="86"/>
  <c r="E32" i="86"/>
  <c r="D40" i="86"/>
  <c r="D39" i="86"/>
  <c r="D38" i="86"/>
  <c r="D37" i="86"/>
  <c r="D36" i="86"/>
  <c r="D35" i="86"/>
  <c r="D34" i="86"/>
  <c r="D33" i="86"/>
  <c r="D32" i="86"/>
  <c r="C29" i="86"/>
  <c r="E29" i="86"/>
  <c r="E28" i="86"/>
  <c r="E27" i="86"/>
  <c r="D29" i="86"/>
  <c r="D28" i="86"/>
  <c r="D27" i="86"/>
  <c r="E24" i="86"/>
  <c r="D24" i="86"/>
  <c r="E20" i="86"/>
  <c r="D20" i="86"/>
  <c r="E19" i="86"/>
  <c r="D19" i="86"/>
  <c r="E17" i="86"/>
  <c r="D17" i="86"/>
  <c r="C97" i="85"/>
  <c r="C101" i="85"/>
  <c r="E84" i="85"/>
  <c r="E66" i="85" s="1"/>
  <c r="D84" i="85"/>
  <c r="D69" i="85" s="1"/>
  <c r="C70" i="85"/>
  <c r="E60" i="85"/>
  <c r="E59" i="85"/>
  <c r="E58" i="85"/>
  <c r="E57" i="85"/>
  <c r="E56" i="85"/>
  <c r="E55" i="85"/>
  <c r="D60" i="85"/>
  <c r="D59" i="85"/>
  <c r="D58" i="85"/>
  <c r="D57" i="85"/>
  <c r="D56" i="85"/>
  <c r="D55" i="85"/>
  <c r="C60" i="85"/>
  <c r="E52" i="85"/>
  <c r="D52" i="85"/>
  <c r="E51" i="85"/>
  <c r="D51" i="85"/>
  <c r="E50" i="85"/>
  <c r="D50" i="85"/>
  <c r="E49" i="85"/>
  <c r="D49" i="85"/>
  <c r="E40" i="85"/>
  <c r="E39" i="85"/>
  <c r="E38" i="85"/>
  <c r="E37" i="85"/>
  <c r="E36" i="85"/>
  <c r="E35" i="85"/>
  <c r="E34" i="85"/>
  <c r="E33" i="85"/>
  <c r="E32" i="85"/>
  <c r="D40" i="85"/>
  <c r="D39" i="85"/>
  <c r="D38" i="85"/>
  <c r="D37" i="85"/>
  <c r="D36" i="85"/>
  <c r="D35" i="85"/>
  <c r="D34" i="85"/>
  <c r="D33" i="85"/>
  <c r="D32" i="85"/>
  <c r="C40" i="85"/>
  <c r="E29" i="85"/>
  <c r="E28" i="85"/>
  <c r="E27" i="85"/>
  <c r="D29" i="85"/>
  <c r="D28" i="85"/>
  <c r="D27" i="85"/>
  <c r="C29" i="85"/>
  <c r="E24" i="85"/>
  <c r="D24" i="85"/>
  <c r="E19" i="85"/>
  <c r="D19" i="85"/>
  <c r="E17" i="85"/>
  <c r="D17" i="85"/>
  <c r="E105" i="84"/>
  <c r="D75" i="84"/>
  <c r="C71" i="84"/>
  <c r="E61" i="84"/>
  <c r="E60" i="84"/>
  <c r="E59" i="84"/>
  <c r="E58" i="84"/>
  <c r="E57" i="84"/>
  <c r="E56" i="84"/>
  <c r="D61" i="84"/>
  <c r="D60" i="84"/>
  <c r="D59" i="84"/>
  <c r="D58" i="84"/>
  <c r="D57" i="84"/>
  <c r="D56" i="84"/>
  <c r="C61" i="84"/>
  <c r="E53" i="84"/>
  <c r="D53" i="84"/>
  <c r="E52" i="84"/>
  <c r="D52" i="84"/>
  <c r="E51" i="84"/>
  <c r="D51" i="84"/>
  <c r="E50" i="84"/>
  <c r="D50" i="84"/>
  <c r="E40" i="84"/>
  <c r="E39" i="84"/>
  <c r="E38" i="84"/>
  <c r="E37" i="84"/>
  <c r="E36" i="84"/>
  <c r="E35" i="84"/>
  <c r="E34" i="84"/>
  <c r="E33" i="84"/>
  <c r="E32" i="84"/>
  <c r="D40" i="84"/>
  <c r="D39" i="84"/>
  <c r="D38" i="84"/>
  <c r="D37" i="84"/>
  <c r="D36" i="84"/>
  <c r="D35" i="84"/>
  <c r="D34" i="84"/>
  <c r="D33" i="84"/>
  <c r="D32" i="84"/>
  <c r="C40" i="84"/>
  <c r="C29" i="84"/>
  <c r="D29" i="84"/>
  <c r="D28" i="84"/>
  <c r="D27" i="84"/>
  <c r="E29" i="84"/>
  <c r="E28" i="84"/>
  <c r="E27" i="84"/>
  <c r="E24" i="84"/>
  <c r="D24" i="84"/>
  <c r="E20" i="84"/>
  <c r="D20" i="84"/>
  <c r="E19" i="84"/>
  <c r="D19" i="84"/>
  <c r="E74" i="83"/>
  <c r="D74" i="83"/>
  <c r="E60" i="83"/>
  <c r="E59" i="83"/>
  <c r="E58" i="83"/>
  <c r="E57" i="83"/>
  <c r="E56" i="83"/>
  <c r="E55" i="83"/>
  <c r="D60" i="83"/>
  <c r="D59" i="83"/>
  <c r="D58" i="83"/>
  <c r="D57" i="83"/>
  <c r="D56" i="83"/>
  <c r="D55" i="83"/>
  <c r="C60" i="83"/>
  <c r="E52" i="83"/>
  <c r="D52" i="83"/>
  <c r="E50" i="83"/>
  <c r="D50" i="83"/>
  <c r="E49" i="83"/>
  <c r="D49" i="83"/>
  <c r="C40" i="83"/>
  <c r="D40" i="83"/>
  <c r="E40" i="83"/>
  <c r="E39" i="83"/>
  <c r="E38" i="83"/>
  <c r="E37" i="83"/>
  <c r="E36" i="83"/>
  <c r="E35" i="83"/>
  <c r="E34" i="83"/>
  <c r="E33" i="83"/>
  <c r="E32" i="83"/>
  <c r="D39" i="83"/>
  <c r="D38" i="83"/>
  <c r="D37" i="83"/>
  <c r="D36" i="83"/>
  <c r="D35" i="83"/>
  <c r="D34" i="83"/>
  <c r="D33" i="83"/>
  <c r="D32" i="83"/>
  <c r="C29" i="83"/>
  <c r="E29" i="83"/>
  <c r="D29" i="83"/>
  <c r="E28" i="83"/>
  <c r="E27" i="83"/>
  <c r="D28" i="83"/>
  <c r="D27" i="83"/>
  <c r="E24" i="83"/>
  <c r="D24" i="83"/>
  <c r="E19" i="83"/>
  <c r="D19" i="83"/>
  <c r="E61" i="89"/>
  <c r="E60" i="89"/>
  <c r="E59" i="89"/>
  <c r="E58" i="89"/>
  <c r="E57" i="89"/>
  <c r="E56" i="89"/>
  <c r="D61" i="89"/>
  <c r="D60" i="89"/>
  <c r="D59" i="89"/>
  <c r="D58" i="89"/>
  <c r="D57" i="89"/>
  <c r="D56" i="89"/>
  <c r="C71" i="89"/>
  <c r="C61" i="89"/>
  <c r="E53" i="89"/>
  <c r="D53" i="89"/>
  <c r="E52" i="89"/>
  <c r="D52" i="89"/>
  <c r="E51" i="89"/>
  <c r="D51" i="89"/>
  <c r="E50" i="89"/>
  <c r="D50" i="89"/>
  <c r="E48" i="89"/>
  <c r="D48" i="89"/>
  <c r="E46" i="89"/>
  <c r="D46" i="89"/>
  <c r="D44" i="89"/>
  <c r="E44" i="89"/>
  <c r="E39" i="89"/>
  <c r="D38" i="89"/>
  <c r="E37" i="89"/>
  <c r="E36" i="89"/>
  <c r="D35" i="89"/>
  <c r="E34" i="89"/>
  <c r="E33" i="89"/>
  <c r="D32" i="89"/>
  <c r="C40" i="89"/>
  <c r="D40" i="89"/>
  <c r="E40" i="89"/>
  <c r="E38" i="89"/>
  <c r="E35" i="89"/>
  <c r="E32" i="89"/>
  <c r="D39" i="89"/>
  <c r="D37" i="89"/>
  <c r="D36" i="89"/>
  <c r="D34" i="89"/>
  <c r="D33" i="89"/>
  <c r="E28" i="89"/>
  <c r="D27" i="89"/>
  <c r="C29" i="89"/>
  <c r="E29" i="89"/>
  <c r="D29" i="89"/>
  <c r="E19" i="89"/>
  <c r="D19" i="89"/>
  <c r="E24" i="89"/>
  <c r="D24" i="89"/>
  <c r="C102" i="88"/>
  <c r="C98" i="88"/>
  <c r="C97" i="88"/>
  <c r="E85" i="88"/>
  <c r="E64" i="88" s="1"/>
  <c r="D85" i="88"/>
  <c r="D67" i="88" s="1"/>
  <c r="C71" i="88"/>
  <c r="E61" i="88"/>
  <c r="E60" i="88"/>
  <c r="E59" i="88"/>
  <c r="E58" i="88"/>
  <c r="E57" i="88"/>
  <c r="E56" i="88"/>
  <c r="D61" i="88"/>
  <c r="D60" i="88"/>
  <c r="D59" i="88"/>
  <c r="D58" i="88"/>
  <c r="D57" i="88"/>
  <c r="D56" i="88"/>
  <c r="C61" i="88"/>
  <c r="E52" i="88"/>
  <c r="D52" i="88"/>
  <c r="E51" i="88"/>
  <c r="D51" i="88"/>
  <c r="E50" i="88"/>
  <c r="D50" i="88"/>
  <c r="E53" i="88"/>
  <c r="D53" i="88"/>
  <c r="E48" i="88"/>
  <c r="D48" i="88"/>
  <c r="E46" i="88"/>
  <c r="D46" i="88"/>
  <c r="D44" i="88"/>
  <c r="E44" i="88"/>
  <c r="C40" i="88"/>
  <c r="D40" i="88"/>
  <c r="E40" i="88"/>
  <c r="E39" i="88"/>
  <c r="E38" i="88"/>
  <c r="E37" i="88"/>
  <c r="E36" i="88"/>
  <c r="E35" i="88"/>
  <c r="E34" i="88"/>
  <c r="E33" i="88"/>
  <c r="E32" i="88"/>
  <c r="D39" i="88"/>
  <c r="D38" i="88"/>
  <c r="D37" i="88"/>
  <c r="D36" i="88"/>
  <c r="D35" i="88"/>
  <c r="D34" i="88"/>
  <c r="D33" i="88"/>
  <c r="D32" i="88"/>
  <c r="C29" i="88"/>
  <c r="E28" i="88"/>
  <c r="D27" i="88"/>
  <c r="D29" i="88"/>
  <c r="E19" i="88"/>
  <c r="D19" i="88"/>
  <c r="E24" i="88"/>
  <c r="D24" i="88"/>
  <c r="D87" i="89" l="1"/>
  <c r="D87" i="88"/>
  <c r="E86" i="89"/>
  <c r="E86" i="88"/>
  <c r="H18" i="90"/>
  <c r="D86" i="67" s="1"/>
  <c r="E85" i="85"/>
  <c r="E85" i="83"/>
  <c r="E86" i="84"/>
  <c r="E85" i="86"/>
  <c r="H20" i="90"/>
  <c r="D64" i="88"/>
  <c r="D64" i="85"/>
  <c r="D65" i="88"/>
  <c r="D65" i="85"/>
  <c r="D66" i="88"/>
  <c r="D66" i="85"/>
  <c r="D63" i="86"/>
  <c r="D68" i="88"/>
  <c r="D64" i="86"/>
  <c r="D69" i="88"/>
  <c r="E65" i="86"/>
  <c r="E70" i="86" s="1"/>
  <c r="E78" i="86" s="1"/>
  <c r="E80" i="86" s="1"/>
  <c r="E81" i="86" s="1"/>
  <c r="E66" i="86"/>
  <c r="E67" i="86"/>
  <c r="E68" i="86"/>
  <c r="D66" i="86"/>
  <c r="D65" i="86"/>
  <c r="D67" i="86"/>
  <c r="D68" i="86"/>
  <c r="E64" i="85"/>
  <c r="E65" i="85"/>
  <c r="E63" i="85"/>
  <c r="E67" i="85"/>
  <c r="E68" i="85"/>
  <c r="E69" i="85"/>
  <c r="D63" i="85"/>
  <c r="D67" i="85"/>
  <c r="D68" i="85"/>
  <c r="E68" i="88"/>
  <c r="E67" i="88"/>
  <c r="E69" i="88"/>
  <c r="E65" i="88"/>
  <c r="E66" i="88"/>
  <c r="C97" i="67"/>
  <c r="C98" i="67"/>
  <c r="C102" i="67"/>
  <c r="G86" i="67"/>
  <c r="D87" i="67"/>
  <c r="E86" i="67"/>
  <c r="C71" i="67"/>
  <c r="G59" i="67"/>
  <c r="F58" i="67"/>
  <c r="F57" i="67"/>
  <c r="E57" i="67"/>
  <c r="D56" i="67"/>
  <c r="G57" i="67"/>
  <c r="D57" i="67"/>
  <c r="G61" i="67"/>
  <c r="F61" i="67"/>
  <c r="E61" i="67"/>
  <c r="D61" i="67"/>
  <c r="C61" i="67"/>
  <c r="D53" i="67"/>
  <c r="E53" i="67"/>
  <c r="F53" i="67"/>
  <c r="G53" i="67"/>
  <c r="G52" i="67"/>
  <c r="F52" i="67"/>
  <c r="E52" i="67"/>
  <c r="D52" i="67"/>
  <c r="G48" i="67"/>
  <c r="F48" i="67"/>
  <c r="E48" i="67"/>
  <c r="D48" i="67"/>
  <c r="C40" i="67"/>
  <c r="F32" i="67"/>
  <c r="F33" i="67"/>
  <c r="F34" i="67"/>
  <c r="F35" i="67"/>
  <c r="F36" i="67"/>
  <c r="F37" i="67"/>
  <c r="F38" i="67"/>
  <c r="F39" i="67"/>
  <c r="G40" i="67"/>
  <c r="G39" i="67"/>
  <c r="G38" i="67"/>
  <c r="G37" i="67"/>
  <c r="G36" i="67"/>
  <c r="G35" i="67"/>
  <c r="G34" i="67"/>
  <c r="F40" i="67"/>
  <c r="E40" i="67"/>
  <c r="E39" i="67"/>
  <c r="E38" i="67"/>
  <c r="E37" i="67"/>
  <c r="E36" i="67"/>
  <c r="E35" i="67"/>
  <c r="E34" i="67"/>
  <c r="D40" i="67"/>
  <c r="D39" i="67"/>
  <c r="D38" i="67"/>
  <c r="D37" i="67"/>
  <c r="D36" i="67"/>
  <c r="D35" i="67"/>
  <c r="D34" i="67"/>
  <c r="G33" i="67"/>
  <c r="E33" i="67"/>
  <c r="D33" i="67"/>
  <c r="G32" i="67"/>
  <c r="E32" i="67"/>
  <c r="D32" i="67"/>
  <c r="G28" i="67"/>
  <c r="F27" i="67"/>
  <c r="E28" i="67"/>
  <c r="D27" i="67"/>
  <c r="C29" i="67"/>
  <c r="C101" i="11"/>
  <c r="C97" i="11"/>
  <c r="C70" i="11"/>
  <c r="C60" i="11"/>
  <c r="G57" i="11"/>
  <c r="F57" i="11"/>
  <c r="E56" i="11"/>
  <c r="D55" i="11"/>
  <c r="G58" i="11"/>
  <c r="F58" i="11"/>
  <c r="E57" i="11"/>
  <c r="D56" i="11"/>
  <c r="D45" i="11"/>
  <c r="C40" i="11"/>
  <c r="G38" i="11"/>
  <c r="F36" i="11"/>
  <c r="E34" i="11"/>
  <c r="D32" i="11"/>
  <c r="D33" i="11"/>
  <c r="D34" i="11"/>
  <c r="D35" i="11"/>
  <c r="D36" i="11"/>
  <c r="D37" i="11"/>
  <c r="D38" i="11"/>
  <c r="D39" i="11"/>
  <c r="C29" i="11"/>
  <c r="G28" i="11"/>
  <c r="G27" i="11"/>
  <c r="F28" i="11"/>
  <c r="F27" i="11"/>
  <c r="E27" i="11"/>
  <c r="D28" i="11"/>
  <c r="D86" i="89" l="1"/>
  <c r="D86" i="88"/>
  <c r="D89" i="88" s="1"/>
  <c r="D85" i="85"/>
  <c r="D85" i="83"/>
  <c r="D86" i="84"/>
  <c r="D85" i="86"/>
  <c r="F86" i="67"/>
  <c r="D70" i="86"/>
  <c r="D78" i="86" s="1"/>
  <c r="D80" i="86" s="1"/>
  <c r="D81" i="86" s="1"/>
  <c r="E70" i="85"/>
  <c r="E78" i="85" s="1"/>
  <c r="E80" i="85" s="1"/>
  <c r="E81" i="85" s="1"/>
  <c r="D70" i="85"/>
  <c r="D78" i="85" s="1"/>
  <c r="D80" i="85" s="1"/>
  <c r="D81" i="85" s="1"/>
  <c r="C78" i="86" l="1"/>
  <c r="C80" i="86" s="1"/>
  <c r="C40" i="86"/>
  <c r="C78" i="85"/>
  <c r="C80" i="85" s="1"/>
  <c r="C79" i="84"/>
  <c r="C81" i="84" s="1"/>
  <c r="C80" i="83"/>
  <c r="C78" i="83"/>
  <c r="C70" i="83"/>
  <c r="C79" i="89"/>
  <c r="C81" i="89" s="1"/>
  <c r="C81" i="67"/>
  <c r="C79" i="67"/>
  <c r="C80" i="11"/>
  <c r="C78" i="11"/>
  <c r="C63" i="86" l="1"/>
  <c r="C63" i="85"/>
  <c r="C64" i="84"/>
  <c r="C63" i="83"/>
  <c r="C64" i="89"/>
  <c r="C64" i="88"/>
  <c r="C79" i="88" s="1"/>
  <c r="C81" i="88" s="1"/>
  <c r="C64" i="67"/>
  <c r="C63" i="11"/>
  <c r="G17" i="67" l="1"/>
  <c r="F17" i="67"/>
  <c r="G17" i="11"/>
  <c r="F17" i="11"/>
  <c r="C12" i="86" l="1"/>
  <c r="C12" i="85"/>
  <c r="C97" i="86" l="1"/>
  <c r="C101" i="86"/>
  <c r="C96" i="86"/>
  <c r="C96" i="85"/>
  <c r="C98" i="84"/>
  <c r="C97" i="84"/>
  <c r="C102" i="84" s="1"/>
  <c r="C101" i="83"/>
  <c r="C97" i="83"/>
  <c r="C96" i="83"/>
  <c r="C97" i="89"/>
  <c r="C98" i="89"/>
  <c r="C102" i="89"/>
  <c r="G19" i="67"/>
  <c r="F19" i="67"/>
  <c r="E19" i="67"/>
  <c r="D19" i="67"/>
  <c r="C96" i="11"/>
  <c r="G19" i="11"/>
  <c r="F19" i="11"/>
  <c r="E19" i="11"/>
  <c r="D19" i="11"/>
  <c r="H15" i="90" l="1"/>
  <c r="H14" i="90"/>
  <c r="G15" i="90"/>
  <c r="G14" i="90"/>
  <c r="E15" i="90"/>
  <c r="E14" i="90"/>
  <c r="E12" i="90"/>
  <c r="H7" i="90"/>
  <c r="H6" i="90"/>
  <c r="G7" i="90"/>
  <c r="G6" i="90"/>
  <c r="F4" i="90"/>
  <c r="G4" i="90" s="1"/>
  <c r="H4" i="90" s="1"/>
  <c r="E7" i="90"/>
  <c r="E6" i="90"/>
  <c r="E4" i="90"/>
  <c r="E3" i="82" l="1"/>
  <c r="G3" i="82" s="1"/>
  <c r="H3" i="82" s="1"/>
  <c r="G44" i="67" l="1"/>
  <c r="F44" i="67"/>
  <c r="E44" i="67"/>
  <c r="D44" i="67"/>
  <c r="G43" i="11"/>
  <c r="F43" i="11"/>
  <c r="E43" i="11"/>
  <c r="D43" i="11"/>
  <c r="E6" i="82" l="1"/>
  <c r="G6" i="82" s="1"/>
  <c r="H6" i="82" s="1"/>
  <c r="E5" i="82"/>
  <c r="G5" i="82" s="1"/>
  <c r="H5" i="82" s="1"/>
  <c r="E4" i="82"/>
  <c r="G4" i="82" s="1"/>
  <c r="H4" i="82" s="1"/>
  <c r="F14" i="59" l="1"/>
  <c r="G14" i="59" s="1"/>
  <c r="H14" i="59" s="1"/>
  <c r="F12" i="59"/>
  <c r="G12" i="59" s="1"/>
  <c r="H12" i="59" s="1"/>
  <c r="F5" i="59"/>
  <c r="G5" i="59" s="1"/>
  <c r="H5" i="59" s="1"/>
  <c r="F3" i="59"/>
  <c r="G3" i="59" s="1"/>
  <c r="H3" i="59" s="1"/>
  <c r="G16" i="59"/>
  <c r="F12" i="90" s="1"/>
  <c r="G12" i="90" s="1"/>
  <c r="H12" i="90" s="1"/>
  <c r="E85" i="11" l="1"/>
  <c r="D85" i="11"/>
  <c r="H16" i="59"/>
  <c r="D43" i="86"/>
  <c r="D45" i="86"/>
  <c r="D74" i="85"/>
  <c r="D43" i="85"/>
  <c r="D45" i="85"/>
  <c r="D47" i="85" s="1"/>
  <c r="D17" i="89"/>
  <c r="D17" i="88"/>
  <c r="D20" i="89" l="1"/>
  <c r="G85" i="11"/>
  <c r="F85" i="11"/>
  <c r="D104" i="85"/>
  <c r="D17" i="67"/>
  <c r="D46" i="67" s="1"/>
  <c r="D73" i="11"/>
  <c r="D74" i="11" s="1"/>
  <c r="D17" i="11"/>
  <c r="D87" i="84" l="1"/>
  <c r="D86" i="85"/>
  <c r="D88" i="85" s="1"/>
  <c r="D89" i="85" s="1"/>
  <c r="D86" i="86"/>
  <c r="D88" i="86" s="1"/>
  <c r="D89" i="86" s="1"/>
  <c r="D86" i="83"/>
  <c r="F87" i="67"/>
  <c r="E86" i="85"/>
  <c r="E88" i="85" s="1"/>
  <c r="E89" i="85" s="1"/>
  <c r="E86" i="86"/>
  <c r="E88" i="86" s="1"/>
  <c r="E89" i="86" s="1"/>
  <c r="E92" i="86" s="1"/>
  <c r="E93" i="86" s="1"/>
  <c r="E94" i="86" s="1"/>
  <c r="E95" i="86" s="1"/>
  <c r="E86" i="83"/>
  <c r="E87" i="84"/>
  <c r="G87" i="67"/>
  <c r="D105" i="88"/>
  <c r="D28" i="88"/>
  <c r="F86" i="11"/>
  <c r="G86" i="11"/>
  <c r="D24" i="11"/>
  <c r="D47" i="11"/>
  <c r="D51" i="11" s="1"/>
  <c r="D20" i="67"/>
  <c r="D24" i="67" s="1"/>
  <c r="D104" i="86"/>
  <c r="D105" i="89"/>
  <c r="D28" i="89"/>
  <c r="D17" i="84"/>
  <c r="D46" i="84" s="1"/>
  <c r="D43" i="83"/>
  <c r="D17" i="83"/>
  <c r="D45" i="83" s="1"/>
  <c r="F73" i="11"/>
  <c r="F74" i="11" s="1"/>
  <c r="F45" i="11"/>
  <c r="G7" i="59"/>
  <c r="H7" i="59" s="1"/>
  <c r="C95" i="89"/>
  <c r="C75" i="89"/>
  <c r="C27" i="89"/>
  <c r="E17" i="89"/>
  <c r="E20" i="89" s="1"/>
  <c r="C95" i="88"/>
  <c r="C75" i="88"/>
  <c r="C27" i="88"/>
  <c r="E17" i="88"/>
  <c r="E92" i="85" l="1"/>
  <c r="E93" i="85"/>
  <c r="E94" i="85" s="1"/>
  <c r="E95" i="85" s="1"/>
  <c r="D92" i="86"/>
  <c r="D93" i="86"/>
  <c r="D94" i="86" s="1"/>
  <c r="D95" i="86" s="1"/>
  <c r="E98" i="86"/>
  <c r="E99" i="86"/>
  <c r="E100" i="86"/>
  <c r="D92" i="85"/>
  <c r="D93" i="85"/>
  <c r="D94" i="85" s="1"/>
  <c r="D95" i="85" s="1"/>
  <c r="D107" i="89"/>
  <c r="D107" i="88"/>
  <c r="D58" i="11"/>
  <c r="D59" i="11"/>
  <c r="D104" i="11"/>
  <c r="D57" i="11"/>
  <c r="D106" i="85"/>
  <c r="D47" i="83"/>
  <c r="D51" i="83" s="1"/>
  <c r="D106" i="86"/>
  <c r="F20" i="67"/>
  <c r="F24" i="67" s="1"/>
  <c r="F46" i="67"/>
  <c r="F47" i="11"/>
  <c r="F51" i="11" s="1"/>
  <c r="F24" i="11"/>
  <c r="D48" i="84"/>
  <c r="D105" i="67"/>
  <c r="D60" i="67"/>
  <c r="D59" i="67"/>
  <c r="D58" i="67"/>
  <c r="D28" i="67"/>
  <c r="D99" i="85" l="1"/>
  <c r="D98" i="85"/>
  <c r="D100" i="85"/>
  <c r="E101" i="86"/>
  <c r="E102" i="86" s="1"/>
  <c r="E98" i="85"/>
  <c r="E100" i="85"/>
  <c r="E99" i="85"/>
  <c r="D99" i="86"/>
  <c r="D98" i="86"/>
  <c r="D101" i="86" s="1"/>
  <c r="D102" i="86" s="1"/>
  <c r="D100" i="86"/>
  <c r="E87" i="89"/>
  <c r="E87" i="88"/>
  <c r="E89" i="88" s="1"/>
  <c r="E87" i="67"/>
  <c r="D60" i="11"/>
  <c r="D106" i="11" s="1"/>
  <c r="D104" i="83"/>
  <c r="D86" i="11"/>
  <c r="E86" i="11"/>
  <c r="F59" i="11"/>
  <c r="D107" i="67"/>
  <c r="F104" i="11"/>
  <c r="F55" i="11"/>
  <c r="F56" i="11"/>
  <c r="D105" i="84"/>
  <c r="F105" i="67"/>
  <c r="F60" i="67"/>
  <c r="F59" i="67"/>
  <c r="F56" i="67"/>
  <c r="F28" i="67"/>
  <c r="E105" i="89"/>
  <c r="E27" i="89"/>
  <c r="E105" i="88"/>
  <c r="E27" i="88"/>
  <c r="E101" i="85" l="1"/>
  <c r="E102" i="85" s="1"/>
  <c r="E110" i="85" s="1"/>
  <c r="D101" i="85"/>
  <c r="D102" i="85" s="1"/>
  <c r="D110" i="85" s="1"/>
  <c r="E107" i="88"/>
  <c r="D106" i="83"/>
  <c r="D107" i="84"/>
  <c r="D74" i="89"/>
  <c r="D75" i="89" s="1"/>
  <c r="E107" i="89"/>
  <c r="E29" i="88"/>
  <c r="F107" i="67"/>
  <c r="F60" i="11"/>
  <c r="F106" i="11" s="1"/>
  <c r="D106" i="89" l="1"/>
  <c r="D80" i="89"/>
  <c r="D106" i="88"/>
  <c r="D80" i="88"/>
  <c r="D74" i="88"/>
  <c r="D75" i="88" s="1"/>
  <c r="E106" i="88" l="1"/>
  <c r="E80" i="89"/>
  <c r="E74" i="89" l="1"/>
  <c r="E75" i="89" s="1"/>
  <c r="E106" i="89"/>
  <c r="E74" i="88"/>
  <c r="E75" i="88" s="1"/>
  <c r="E80" i="88"/>
  <c r="E17" i="67"/>
  <c r="E73" i="11"/>
  <c r="E74" i="11"/>
  <c r="E17" i="11"/>
  <c r="E45" i="11" s="1"/>
  <c r="E46" i="67" l="1"/>
  <c r="E20" i="67"/>
  <c r="E24" i="67" s="1"/>
  <c r="E47" i="11"/>
  <c r="E51" i="11" s="1"/>
  <c r="E24" i="11"/>
  <c r="E104" i="11" s="1"/>
  <c r="C94" i="86"/>
  <c r="E43" i="86"/>
  <c r="C27" i="86"/>
  <c r="C94" i="85"/>
  <c r="E74" i="85"/>
  <c r="E43" i="85"/>
  <c r="C27" i="85"/>
  <c r="C95" i="84"/>
  <c r="C75" i="84"/>
  <c r="C27" i="84"/>
  <c r="E17" i="84"/>
  <c r="C94" i="83"/>
  <c r="E43" i="83"/>
  <c r="C27" i="83"/>
  <c r="E17" i="83"/>
  <c r="E28" i="11" l="1"/>
  <c r="E55" i="11"/>
  <c r="E58" i="11"/>
  <c r="E59" i="11"/>
  <c r="E105" i="67"/>
  <c r="E60" i="67"/>
  <c r="E59" i="67"/>
  <c r="E58" i="67"/>
  <c r="E56" i="67"/>
  <c r="E45" i="86"/>
  <c r="E45" i="85"/>
  <c r="E47" i="85" s="1"/>
  <c r="E46" i="84"/>
  <c r="E48" i="84" s="1"/>
  <c r="E45" i="83"/>
  <c r="E47" i="83" s="1"/>
  <c r="E51" i="83" s="1"/>
  <c r="E60" i="11" l="1"/>
  <c r="E106" i="11" s="1"/>
  <c r="E107" i="67"/>
  <c r="E104" i="86"/>
  <c r="E104" i="85"/>
  <c r="E104" i="83"/>
  <c r="E107" i="84" l="1"/>
  <c r="E106" i="83"/>
  <c r="E106" i="86"/>
  <c r="E106" i="85"/>
  <c r="D79" i="83"/>
  <c r="D105" i="83"/>
  <c r="D106" i="84" l="1"/>
  <c r="D80" i="84"/>
  <c r="D74" i="84"/>
  <c r="D79" i="85"/>
  <c r="D105" i="85"/>
  <c r="D105" i="86"/>
  <c r="D79" i="86"/>
  <c r="E106" i="84" l="1"/>
  <c r="E74" i="84"/>
  <c r="E75" i="84" s="1"/>
  <c r="E79" i="85" l="1"/>
  <c r="E105" i="85"/>
  <c r="E105" i="83"/>
  <c r="E105" i="86"/>
  <c r="E80" i="84"/>
  <c r="E79" i="83"/>
  <c r="E79" i="86"/>
  <c r="G73" i="11"/>
  <c r="G74" i="11" s="1"/>
  <c r="G24" i="11" l="1"/>
  <c r="G45" i="11"/>
  <c r="G47" i="11" s="1"/>
  <c r="G51" i="11" s="1"/>
  <c r="G59" i="11" l="1"/>
  <c r="G55" i="11"/>
  <c r="G56" i="11"/>
  <c r="G104" i="11"/>
  <c r="G60" i="11" l="1"/>
  <c r="G106" i="11" s="1"/>
  <c r="G20" i="67"/>
  <c r="G46" i="67"/>
  <c r="C75" i="67"/>
  <c r="F85" i="67" l="1"/>
  <c r="E85" i="67"/>
  <c r="G85" i="67"/>
  <c r="E84" i="11"/>
  <c r="G84" i="11"/>
  <c r="E85" i="89"/>
  <c r="F84" i="11"/>
  <c r="E84" i="83"/>
  <c r="D84" i="83"/>
  <c r="D85" i="84"/>
  <c r="E85" i="84"/>
  <c r="D85" i="89"/>
  <c r="D85" i="67"/>
  <c r="D84" i="11"/>
  <c r="F89" i="67"/>
  <c r="D70" i="89" l="1"/>
  <c r="D69" i="89"/>
  <c r="D68" i="89"/>
  <c r="D67" i="89"/>
  <c r="D89" i="89"/>
  <c r="D66" i="89"/>
  <c r="D65" i="89"/>
  <c r="D64" i="89"/>
  <c r="F64" i="11"/>
  <c r="F68" i="11"/>
  <c r="F65" i="11"/>
  <c r="F63" i="11"/>
  <c r="F67" i="11"/>
  <c r="F88" i="11"/>
  <c r="F66" i="11"/>
  <c r="E64" i="89"/>
  <c r="E66" i="89"/>
  <c r="E89" i="89"/>
  <c r="E109" i="89" s="1"/>
  <c r="E70" i="89"/>
  <c r="E65" i="89"/>
  <c r="E69" i="89"/>
  <c r="E67" i="89"/>
  <c r="E68" i="89"/>
  <c r="E88" i="83"/>
  <c r="E108" i="83" s="1"/>
  <c r="E69" i="83"/>
  <c r="E68" i="83"/>
  <c r="E67" i="83"/>
  <c r="E66" i="83"/>
  <c r="E65" i="83"/>
  <c r="E64" i="83"/>
  <c r="E63" i="83"/>
  <c r="G108" i="11"/>
  <c r="G65" i="11"/>
  <c r="G67" i="11"/>
  <c r="G68" i="11"/>
  <c r="G66" i="11"/>
  <c r="G64" i="11"/>
  <c r="G88" i="11"/>
  <c r="G63" i="11"/>
  <c r="D68" i="83"/>
  <c r="D88" i="83"/>
  <c r="D67" i="83"/>
  <c r="D66" i="83"/>
  <c r="D65" i="83"/>
  <c r="D69" i="83"/>
  <c r="D64" i="83"/>
  <c r="D63" i="83"/>
  <c r="D70" i="83" s="1"/>
  <c r="D78" i="83" s="1"/>
  <c r="D80" i="83" s="1"/>
  <c r="D81" i="83" s="1"/>
  <c r="E108" i="11"/>
  <c r="E64" i="11"/>
  <c r="E69" i="11"/>
  <c r="E65" i="11"/>
  <c r="E63" i="11"/>
  <c r="E70" i="11" s="1"/>
  <c r="E78" i="11" s="1"/>
  <c r="E80" i="11" s="1"/>
  <c r="E81" i="11" s="1"/>
  <c r="E88" i="11"/>
  <c r="E67" i="11"/>
  <c r="E66" i="11"/>
  <c r="E68" i="11"/>
  <c r="G68" i="67"/>
  <c r="G67" i="67"/>
  <c r="G65" i="67"/>
  <c r="D70" i="84"/>
  <c r="D69" i="84"/>
  <c r="D68" i="84"/>
  <c r="D67" i="84"/>
  <c r="D66" i="84"/>
  <c r="D89" i="84"/>
  <c r="D65" i="84"/>
  <c r="D64" i="84"/>
  <c r="D63" i="11"/>
  <c r="D64" i="11"/>
  <c r="D88" i="11"/>
  <c r="D68" i="11"/>
  <c r="D67" i="11"/>
  <c r="D66" i="11"/>
  <c r="D65" i="11"/>
  <c r="E89" i="67"/>
  <c r="E109" i="67" s="1"/>
  <c r="E65" i="67"/>
  <c r="E70" i="67"/>
  <c r="E64" i="84"/>
  <c r="E89" i="84"/>
  <c r="E70" i="84"/>
  <c r="E65" i="84"/>
  <c r="E69" i="84"/>
  <c r="E68" i="84"/>
  <c r="E67" i="84"/>
  <c r="E66" i="84"/>
  <c r="D89" i="67"/>
  <c r="D109" i="67" s="1"/>
  <c r="D64" i="67"/>
  <c r="D65" i="67"/>
  <c r="D70" i="67"/>
  <c r="F66" i="67"/>
  <c r="F65" i="67"/>
  <c r="F69" i="67"/>
  <c r="E109" i="88"/>
  <c r="E70" i="88"/>
  <c r="E71" i="88" s="1"/>
  <c r="E79" i="88" s="1"/>
  <c r="E81" i="88" s="1"/>
  <c r="E82" i="88" s="1"/>
  <c r="E90" i="88" s="1"/>
  <c r="D70" i="88"/>
  <c r="D71" i="88" s="1"/>
  <c r="D79" i="88" s="1"/>
  <c r="D81" i="88" s="1"/>
  <c r="D82" i="88" s="1"/>
  <c r="D90" i="88" s="1"/>
  <c r="E108" i="85"/>
  <c r="E107" i="86"/>
  <c r="E108" i="86"/>
  <c r="F109" i="67"/>
  <c r="F108" i="11"/>
  <c r="E109" i="86" l="1"/>
  <c r="D71" i="89"/>
  <c r="D79" i="89" s="1"/>
  <c r="D81" i="89" s="1"/>
  <c r="D82" i="89" s="1"/>
  <c r="D90" i="89" s="1"/>
  <c r="D71" i="84"/>
  <c r="E70" i="83"/>
  <c r="E78" i="83" s="1"/>
  <c r="E80" i="83" s="1"/>
  <c r="E81" i="83" s="1"/>
  <c r="E71" i="84"/>
  <c r="E79" i="84" s="1"/>
  <c r="E81" i="84" s="1"/>
  <c r="E82" i="84" s="1"/>
  <c r="E90" i="84" s="1"/>
  <c r="E93" i="88"/>
  <c r="E89" i="11"/>
  <c r="D89" i="83"/>
  <c r="D93" i="88"/>
  <c r="E71" i="89"/>
  <c r="E79" i="89" s="1"/>
  <c r="E81" i="89" s="1"/>
  <c r="E82" i="89" s="1"/>
  <c r="E108" i="89" s="1"/>
  <c r="E110" i="89" s="1"/>
  <c r="E89" i="83"/>
  <c r="D109" i="84"/>
  <c r="E109" i="84"/>
  <c r="D108" i="83"/>
  <c r="D107" i="86"/>
  <c r="D79" i="84"/>
  <c r="D81" i="84" s="1"/>
  <c r="D82" i="84" s="1"/>
  <c r="D90" i="84" s="1"/>
  <c r="D107" i="83"/>
  <c r="D109" i="83" s="1"/>
  <c r="E107" i="85"/>
  <c r="E109" i="85" s="1"/>
  <c r="E111" i="85" s="1"/>
  <c r="C34" i="87" s="1"/>
  <c r="E107" i="83"/>
  <c r="E109" i="83" s="1"/>
  <c r="D108" i="86"/>
  <c r="D108" i="85"/>
  <c r="D109" i="89"/>
  <c r="D109" i="88"/>
  <c r="D108" i="11"/>
  <c r="C95" i="67"/>
  <c r="C27" i="67"/>
  <c r="D29" i="67" s="1"/>
  <c r="D50" i="67" s="1"/>
  <c r="D109" i="86" l="1"/>
  <c r="D93" i="84"/>
  <c r="E93" i="84"/>
  <c r="D93" i="89"/>
  <c r="D94" i="89" s="1"/>
  <c r="E90" i="89"/>
  <c r="E92" i="83"/>
  <c r="E93" i="83" s="1"/>
  <c r="E94" i="83" s="1"/>
  <c r="E95" i="83" s="1"/>
  <c r="E108" i="84"/>
  <c r="E110" i="84" s="1"/>
  <c r="E92" i="11"/>
  <c r="E94" i="88"/>
  <c r="E95" i="88" s="1"/>
  <c r="E96" i="88" s="1"/>
  <c r="D94" i="88"/>
  <c r="D95" i="88" s="1"/>
  <c r="D96" i="88" s="1"/>
  <c r="D92" i="83"/>
  <c r="D107" i="85"/>
  <c r="D109" i="85" s="1"/>
  <c r="D111" i="85" s="1"/>
  <c r="C22" i="87" s="1"/>
  <c r="D108" i="84"/>
  <c r="D110" i="84" s="1"/>
  <c r="D108" i="89"/>
  <c r="D110" i="89" s="1"/>
  <c r="E108" i="88"/>
  <c r="E110" i="88" s="1"/>
  <c r="D108" i="88"/>
  <c r="D110" i="88" s="1"/>
  <c r="E27" i="67"/>
  <c r="E29" i="67" s="1"/>
  <c r="F29" i="67"/>
  <c r="G24" i="67"/>
  <c r="E100" i="83" l="1"/>
  <c r="E99" i="83"/>
  <c r="E98" i="83"/>
  <c r="E101" i="83" s="1"/>
  <c r="E93" i="11"/>
  <c r="E94" i="11" s="1"/>
  <c r="E95" i="11" s="1"/>
  <c r="E94" i="84"/>
  <c r="E95" i="84" s="1"/>
  <c r="E96" i="84" s="1"/>
  <c r="E93" i="89"/>
  <c r="E94" i="89" s="1"/>
  <c r="D94" i="84"/>
  <c r="E102" i="83"/>
  <c r="D95" i="84"/>
  <c r="D96" i="84" s="1"/>
  <c r="E101" i="88"/>
  <c r="E100" i="88"/>
  <c r="E99" i="88"/>
  <c r="E102" i="88" s="1"/>
  <c r="E103" i="88" s="1"/>
  <c r="D95" i="89"/>
  <c r="D96" i="89" s="1"/>
  <c r="D93" i="83"/>
  <c r="D101" i="88"/>
  <c r="D100" i="88"/>
  <c r="D99" i="88"/>
  <c r="D102" i="88" s="1"/>
  <c r="D103" i="88" s="1"/>
  <c r="E50" i="67"/>
  <c r="F50" i="67"/>
  <c r="G27" i="67"/>
  <c r="G56" i="67"/>
  <c r="G58" i="67"/>
  <c r="G60" i="67"/>
  <c r="G105" i="67"/>
  <c r="G89" i="67"/>
  <c r="G109" i="67" s="1"/>
  <c r="E100" i="11" l="1"/>
  <c r="E99" i="11"/>
  <c r="E98" i="11"/>
  <c r="E101" i="11" s="1"/>
  <c r="E102" i="11" s="1"/>
  <c r="D99" i="84"/>
  <c r="D101" i="84"/>
  <c r="D100" i="84"/>
  <c r="E99" i="84"/>
  <c r="E101" i="84"/>
  <c r="E100" i="84"/>
  <c r="D94" i="83"/>
  <c r="D95" i="83" s="1"/>
  <c r="D99" i="89"/>
  <c r="D100" i="89"/>
  <c r="D101" i="89"/>
  <c r="E95" i="89"/>
  <c r="E96" i="89" s="1"/>
  <c r="E110" i="83"/>
  <c r="E111" i="83" s="1"/>
  <c r="F51" i="67"/>
  <c r="E51" i="67"/>
  <c r="D51" i="67"/>
  <c r="G107" i="67"/>
  <c r="G29" i="67"/>
  <c r="E102" i="84" l="1"/>
  <c r="E103" i="84" s="1"/>
  <c r="E100" i="89"/>
  <c r="E99" i="89"/>
  <c r="E101" i="89"/>
  <c r="D102" i="84"/>
  <c r="D103" i="84" s="1"/>
  <c r="D111" i="84" s="1"/>
  <c r="D112" i="84" s="1"/>
  <c r="C21" i="87" s="1"/>
  <c r="F21" i="87" s="1"/>
  <c r="G21" i="87" s="1"/>
  <c r="H21" i="87" s="1"/>
  <c r="D102" i="89"/>
  <c r="D103" i="89" s="1"/>
  <c r="D111" i="89" s="1"/>
  <c r="D100" i="83"/>
  <c r="D99" i="83"/>
  <c r="D98" i="83"/>
  <c r="D101" i="83" s="1"/>
  <c r="D102" i="83" s="1"/>
  <c r="D110" i="83" s="1"/>
  <c r="D111" i="83" s="1"/>
  <c r="C20" i="87" s="1"/>
  <c r="F20" i="87" s="1"/>
  <c r="G20" i="87" s="1"/>
  <c r="H20" i="87" s="1"/>
  <c r="F34" i="87"/>
  <c r="G34" i="87" s="1"/>
  <c r="H34" i="87" s="1"/>
  <c r="E111" i="84"/>
  <c r="C32" i="87"/>
  <c r="F32" i="87" s="1"/>
  <c r="G32" i="87" s="1"/>
  <c r="H32" i="87" s="1"/>
  <c r="D111" i="88"/>
  <c r="D112" i="88" s="1"/>
  <c r="F64" i="67"/>
  <c r="E106" i="67"/>
  <c r="E69" i="67"/>
  <c r="E64" i="67"/>
  <c r="D106" i="67"/>
  <c r="D67" i="67"/>
  <c r="D66" i="67"/>
  <c r="D68" i="67"/>
  <c r="D69" i="67"/>
  <c r="D110" i="86"/>
  <c r="D111" i="86" s="1"/>
  <c r="C23" i="87" s="1"/>
  <c r="E110" i="86"/>
  <c r="E111" i="86" s="1"/>
  <c r="C35" i="87" s="1"/>
  <c r="F74" i="67"/>
  <c r="F75" i="67" s="1"/>
  <c r="F67" i="67"/>
  <c r="F68" i="67"/>
  <c r="F70" i="67"/>
  <c r="F80" i="67"/>
  <c r="E68" i="67"/>
  <c r="E66" i="67"/>
  <c r="E67" i="67"/>
  <c r="F106" i="67"/>
  <c r="E74" i="67"/>
  <c r="E75" i="67" s="1"/>
  <c r="E80" i="67"/>
  <c r="D80" i="67"/>
  <c r="D74" i="67"/>
  <c r="D75" i="67" s="1"/>
  <c r="G50" i="67"/>
  <c r="D112" i="89" l="1"/>
  <c r="C16" i="87" s="1"/>
  <c r="F16" i="87" s="1"/>
  <c r="G16" i="87" s="1"/>
  <c r="H16" i="87" s="1"/>
  <c r="E112" i="84"/>
  <c r="C33" i="87" s="1"/>
  <c r="F33" i="87" s="1"/>
  <c r="G33" i="87" s="1"/>
  <c r="H33" i="87" s="1"/>
  <c r="D71" i="67"/>
  <c r="D79" i="67" s="1"/>
  <c r="D81" i="67" s="1"/>
  <c r="D82" i="67" s="1"/>
  <c r="E102" i="89"/>
  <c r="E103" i="89" s="1"/>
  <c r="E111" i="89" s="1"/>
  <c r="E112" i="89" s="1"/>
  <c r="C28" i="87" s="1"/>
  <c r="F28" i="87" s="1"/>
  <c r="G28" i="87" s="1"/>
  <c r="H28" i="87" s="1"/>
  <c r="F35" i="87"/>
  <c r="G35" i="87" s="1"/>
  <c r="H35" i="87" s="1"/>
  <c r="F23" i="87"/>
  <c r="G23" i="87" s="1"/>
  <c r="H23" i="87" s="1"/>
  <c r="F22" i="87"/>
  <c r="G22" i="87" s="1"/>
  <c r="H22" i="87" s="1"/>
  <c r="E111" i="88"/>
  <c r="E112" i="88" s="1"/>
  <c r="F71" i="67"/>
  <c r="F79" i="67" s="1"/>
  <c r="E71" i="67"/>
  <c r="E79" i="67" s="1"/>
  <c r="E81" i="67" s="1"/>
  <c r="E82" i="67" s="1"/>
  <c r="C15" i="87"/>
  <c r="F15" i="87" s="1"/>
  <c r="G15" i="87" s="1"/>
  <c r="H15" i="87" s="1"/>
  <c r="G51" i="67"/>
  <c r="F81" i="67" l="1"/>
  <c r="F82" i="67" s="1"/>
  <c r="F90" i="67" s="1"/>
  <c r="C27" i="87"/>
  <c r="F27" i="87" s="1"/>
  <c r="G27" i="87" s="1"/>
  <c r="H27" i="87" s="1"/>
  <c r="E90" i="67"/>
  <c r="E108" i="67"/>
  <c r="E110" i="67" s="1"/>
  <c r="G64" i="67"/>
  <c r="G69" i="67"/>
  <c r="D90" i="67"/>
  <c r="D108" i="67"/>
  <c r="D110" i="67" s="1"/>
  <c r="F108" i="67"/>
  <c r="F110" i="67" s="1"/>
  <c r="G106" i="67"/>
  <c r="G66" i="67"/>
  <c r="G70" i="67"/>
  <c r="G74" i="67"/>
  <c r="G75" i="67" s="1"/>
  <c r="G80" i="67"/>
  <c r="F93" i="67" l="1"/>
  <c r="D93" i="67"/>
  <c r="D94" i="67" s="1"/>
  <c r="E93" i="67"/>
  <c r="G71" i="67"/>
  <c r="G79" i="67" s="1"/>
  <c r="G81" i="67" l="1"/>
  <c r="G82" i="67" s="1"/>
  <c r="G90" i="67" s="1"/>
  <c r="E94" i="67"/>
  <c r="D95" i="67"/>
  <c r="D96" i="67" s="1"/>
  <c r="F94" i="67"/>
  <c r="F95" i="67" s="1"/>
  <c r="F96" i="67" s="1"/>
  <c r="G108" i="67"/>
  <c r="G110" i="67" s="1"/>
  <c r="G93" i="67" l="1"/>
  <c r="G94" i="67" s="1"/>
  <c r="G95" i="67" s="1"/>
  <c r="G96" i="67" s="1"/>
  <c r="F101" i="67"/>
  <c r="F100" i="67"/>
  <c r="F99" i="67"/>
  <c r="D99" i="67"/>
  <c r="D100" i="67"/>
  <c r="D101" i="67"/>
  <c r="E95" i="67"/>
  <c r="E96" i="67" s="1"/>
  <c r="F102" i="67" l="1"/>
  <c r="F103" i="67" s="1"/>
  <c r="F111" i="67" s="1"/>
  <c r="G99" i="67"/>
  <c r="G101" i="67"/>
  <c r="G100" i="67"/>
  <c r="E101" i="67"/>
  <c r="E100" i="67"/>
  <c r="E99" i="67"/>
  <c r="E102" i="67" s="1"/>
  <c r="E103" i="67" s="1"/>
  <c r="E111" i="67" s="1"/>
  <c r="E112" i="67" s="1"/>
  <c r="C26" i="87" s="1"/>
  <c r="F26" i="87" s="1"/>
  <c r="G26" i="87" s="1"/>
  <c r="H26" i="87" s="1"/>
  <c r="D102" i="67"/>
  <c r="D103" i="67" s="1"/>
  <c r="D111" i="67" s="1"/>
  <c r="D112" i="67" s="1"/>
  <c r="C14" i="87" s="1"/>
  <c r="F14" i="87" s="1"/>
  <c r="G14" i="87" s="1"/>
  <c r="H14" i="87" s="1"/>
  <c r="F112" i="67"/>
  <c r="C19" i="87" s="1"/>
  <c r="F19" i="87" s="1"/>
  <c r="G19" i="87" s="1"/>
  <c r="H19" i="87" s="1"/>
  <c r="G102" i="67" l="1"/>
  <c r="G103" i="67" s="1"/>
  <c r="G111" i="67" s="1"/>
  <c r="G112" i="67" l="1"/>
  <c r="C31" i="87" s="1"/>
  <c r="F31" i="87" s="1"/>
  <c r="G31" i="87" s="1"/>
  <c r="H31" i="87" s="1"/>
  <c r="C94" i="11"/>
  <c r="C27" i="11"/>
  <c r="D27" i="11" l="1"/>
  <c r="D29" i="11" s="1"/>
  <c r="F29" i="11"/>
  <c r="E29" i="11"/>
  <c r="G29" i="11"/>
  <c r="G32" i="11" s="1"/>
  <c r="F33" i="11" l="1"/>
  <c r="F34" i="11"/>
  <c r="F35" i="11"/>
  <c r="F37" i="11"/>
  <c r="F39" i="11"/>
  <c r="F38" i="11"/>
  <c r="F32" i="11"/>
  <c r="D49" i="11"/>
  <c r="E49" i="11"/>
  <c r="E37" i="11"/>
  <c r="E35" i="11"/>
  <c r="E33" i="11"/>
  <c r="E32" i="11"/>
  <c r="E39" i="11"/>
  <c r="E38" i="11"/>
  <c r="E36" i="11"/>
  <c r="F49" i="11"/>
  <c r="G33" i="11"/>
  <c r="G34" i="11"/>
  <c r="G35" i="11"/>
  <c r="G36" i="11"/>
  <c r="G37" i="11"/>
  <c r="G39" i="11"/>
  <c r="G49" i="11"/>
  <c r="D13" i="2"/>
  <c r="D12" i="2"/>
  <c r="D11" i="2"/>
  <c r="D10" i="2"/>
  <c r="D9" i="2"/>
  <c r="D8" i="2"/>
  <c r="F40" i="11" l="1"/>
  <c r="F50" i="11" s="1"/>
  <c r="F52" i="11" s="1"/>
  <c r="D40" i="11"/>
  <c r="D50" i="11" s="1"/>
  <c r="D52" i="11" s="1"/>
  <c r="D79" i="11" s="1"/>
  <c r="G40" i="11"/>
  <c r="G50" i="11" s="1"/>
  <c r="G52" i="11" s="1"/>
  <c r="E40" i="11"/>
  <c r="E50" i="11" s="1"/>
  <c r="E52" i="11" s="1"/>
  <c r="E105" i="11" s="1"/>
  <c r="D69" i="11" l="1"/>
  <c r="D70" i="11" s="1"/>
  <c r="D105" i="11"/>
  <c r="E79" i="11"/>
  <c r="F105" i="11"/>
  <c r="F79" i="11"/>
  <c r="F69" i="11"/>
  <c r="F70" i="11" s="1"/>
  <c r="G69" i="11"/>
  <c r="G70" i="11" s="1"/>
  <c r="G78" i="11" s="1"/>
  <c r="G80" i="11" s="1"/>
  <c r="G81" i="11" s="1"/>
  <c r="G89" i="11" s="1"/>
  <c r="G79" i="11"/>
  <c r="G105" i="11"/>
  <c r="G92" i="11" l="1"/>
  <c r="D78" i="11"/>
  <c r="F78" i="11"/>
  <c r="F80" i="11" l="1"/>
  <c r="F81" i="11" s="1"/>
  <c r="F89" i="11" s="1"/>
  <c r="D80" i="11"/>
  <c r="D81" i="11" s="1"/>
  <c r="D89" i="11" s="1"/>
  <c r="G93" i="11"/>
  <c r="G94" i="11" s="1"/>
  <c r="G95" i="11" s="1"/>
  <c r="E107" i="11"/>
  <c r="E109" i="11" s="1"/>
  <c r="G107" i="11"/>
  <c r="G109" i="11" s="1"/>
  <c r="G98" i="11" l="1"/>
  <c r="G100" i="11"/>
  <c r="G99" i="11"/>
  <c r="D92" i="11"/>
  <c r="D93" i="11" s="1"/>
  <c r="D107" i="11"/>
  <c r="D109" i="11" s="1"/>
  <c r="F92" i="11"/>
  <c r="F93" i="11"/>
  <c r="F107" i="11"/>
  <c r="F109" i="11" s="1"/>
  <c r="E110" i="11"/>
  <c r="E111" i="11" s="1"/>
  <c r="F94" i="11" l="1"/>
  <c r="F95" i="11" s="1"/>
  <c r="F100" i="11"/>
  <c r="F99" i="11"/>
  <c r="F98" i="11"/>
  <c r="F101" i="11" s="1"/>
  <c r="F102" i="11" s="1"/>
  <c r="F110" i="11" s="1"/>
  <c r="F111" i="11" s="1"/>
  <c r="D94" i="11"/>
  <c r="D95" i="11" s="1"/>
  <c r="G101" i="11"/>
  <c r="G102" i="11" s="1"/>
  <c r="C25" i="87"/>
  <c r="F25" i="87" s="1"/>
  <c r="G25" i="87" s="1"/>
  <c r="H25" i="87" s="1"/>
  <c r="F5" i="87"/>
  <c r="G5" i="87" s="1"/>
  <c r="H5" i="87" s="1"/>
  <c r="D98" i="11" l="1"/>
  <c r="D99" i="11"/>
  <c r="D100" i="11"/>
  <c r="C18" i="87"/>
  <c r="F18" i="87" s="1"/>
  <c r="G18" i="87" s="1"/>
  <c r="H18" i="87" s="1"/>
  <c r="F4" i="87"/>
  <c r="G4" i="87" s="1"/>
  <c r="G110" i="11"/>
  <c r="G111" i="11" s="1"/>
  <c r="D101" i="11" l="1"/>
  <c r="D102" i="11" s="1"/>
  <c r="D110" i="11" s="1"/>
  <c r="D111" i="11" s="1"/>
  <c r="C30" i="87"/>
  <c r="F30" i="87" s="1"/>
  <c r="G30" i="87" s="1"/>
  <c r="F6" i="87"/>
  <c r="G6" i="87" s="1"/>
  <c r="H6" i="87" s="1"/>
  <c r="H4" i="87"/>
  <c r="C13" i="87" l="1"/>
  <c r="F13" i="87" s="1"/>
  <c r="G13" i="87" s="1"/>
  <c r="H13" i="87" s="1"/>
  <c r="F3" i="87"/>
  <c r="G3" i="87" s="1"/>
  <c r="H3" i="87" s="1"/>
  <c r="H30" i="87"/>
</calcChain>
</file>

<file path=xl/sharedStrings.xml><?xml version="1.0" encoding="utf-8"?>
<sst xmlns="http://schemas.openxmlformats.org/spreadsheetml/2006/main" count="1929" uniqueCount="310">
  <si>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</si>
  <si>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</si>
  <si>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</si>
  <si>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</si>
  <si>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</si>
  <si>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</si>
  <si>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</si>
  <si>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</si>
  <si>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</si>
  <si>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</si>
  <si>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</si>
  <si>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</si>
  <si>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</si>
  <si>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</si>
  <si>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</si>
  <si>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</si>
  <si>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</si>
  <si>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</si>
  <si>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</si>
  <si>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</si>
  <si>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</si>
  <si>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</si>
  <si>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</si>
  <si>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</si>
  <si>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</si>
  <si>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</si>
  <si>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</si>
  <si>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</si>
  <si>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</si>
  <si>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</si>
  <si>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</si>
  <si>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</si>
  <si>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</si>
  <si>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</si>
  <si>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</si>
  <si>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</si>
  <si>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</si>
  <si>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</si>
  <si>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</si>
  <si>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</si>
  <si>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</si>
  <si>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</si>
  <si>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</si>
  <si>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</si>
  <si>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</si>
  <si>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</si>
  <si>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</si>
  <si>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</si>
  <si>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</si>
  <si>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</si>
  <si>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</si>
  <si>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</si>
  <si>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</si>
  <si>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</si>
  <si>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</si>
  <si>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</si>
  <si>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</si>
  <si>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</si>
  <si>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</si>
  <si>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</si>
  <si>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</si>
  <si>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</si>
  <si>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</si>
  <si>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</si>
  <si>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</si>
  <si>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</si>
  <si>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</si>
  <si>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</si>
  <si>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</si>
  <si>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</si>
  <si>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</si>
  <si>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</si>
  <si>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</si>
  <si>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</si>
  <si>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</si>
  <si>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</si>
  <si>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</si>
  <si>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</si>
  <si>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</si>
  <si>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</si>
  <si>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</si>
  <si>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</si>
  <si>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</si>
  <si>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</si>
  <si>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</si>
  <si>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</si>
  <si>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</si>
  <si>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</si>
  <si>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</si>
  <si>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</si>
  <si>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</si>
  <si>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</si>
  <si>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</si>
  <si>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</si>
  <si>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</si>
  <si>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</si>
  <si>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</si>
  <si>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</si>
  <si>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</si>
  <si>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</si>
  <si>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</si>
  <si>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</si>
  <si>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</si>
  <si>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</si>
  <si>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</si>
  <si>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</si>
  <si>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</si>
  <si>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</si>
  <si>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</si>
  <si>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</si>
  <si>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</si>
  <si>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</si>
  <si>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</si>
  <si>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</si>
  <si>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</si>
  <si>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</si>
  <si>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</si>
  <si>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</si>
  <si>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</si>
  <si>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</si>
  <si>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</si>
  <si>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</si>
  <si>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</si>
  <si>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</si>
  <si>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</si>
  <si>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</si>
  <si>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</si>
  <si>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</si>
  <si>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</si>
  <si>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</si>
  <si>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</si>
  <si>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</si>
  <si>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</si>
  <si>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</si>
  <si>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</si>
  <si>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</si>
  <si>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</si>
  <si>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</si>
  <si>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</si>
  <si>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</si>
  <si>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</si>
  <si>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</si>
  <si>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</si>
  <si>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</si>
  <si>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</si>
  <si>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</si>
  <si>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</si>
  <si>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</si>
  <si>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</si>
  <si>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</si>
  <si>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</si>
  <si>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</si>
  <si>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</si>
  <si>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</si>
  <si>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</si>
  <si>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</si>
  <si>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</si>
  <si>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</si>
  <si>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</si>
  <si>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</si>
  <si>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</si>
  <si>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</si>
  <si>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</si>
  <si>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</si>
  <si>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</si>
  <si>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</si>
  <si>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</si>
  <si>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</si>
  <si>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</si>
  <si>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</si>
  <si>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</si>
  <si>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</si>
  <si>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</si>
  <si>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</si>
  <si>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</si>
  <si>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</si>
  <si>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</si>
  <si>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</si>
  <si>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</si>
  <si>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</si>
  <si>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</si>
  <si>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</si>
  <si>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</si>
  <si>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</si>
  <si>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</si>
  <si>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</si>
  <si>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</si>
  <si>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</si>
  <si>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</si>
  <si>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</si>
  <si>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</si>
  <si>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</si>
  <si>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</si>
  <si>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</si>
  <si>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</si>
  <si>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</si>
  <si>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</si>
  <si>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</si>
  <si>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</si>
  <si>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 xml:space="preserve">FGTS (8,0%) </t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</si>
  <si>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</si>
  <si>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</si>
  <si>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</si>
  <si>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</si>
  <si>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</si>
  <si>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</si>
  <si>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</si>
  <si>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</si>
  <si>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</si>
  <si>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</si>
  <si>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</si>
  <si>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</si>
  <si>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</si>
  <si>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</si>
  <si>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</si>
  <si>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</si>
  <si>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</si>
  <si>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</si>
  <si>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</si>
  <si>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</si>
  <si>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</si>
  <si>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Técnico de Enfermagem - Noturno</t>
  </si>
  <si>
    <t>Técnico de Enfermagem - Diurno</t>
  </si>
  <si>
    <t>Ambulância Tipo D</t>
  </si>
  <si>
    <t>Enfermeiro - Noturno</t>
  </si>
  <si>
    <t>Médico - Noturno</t>
  </si>
  <si>
    <t>Ambulancia de Suporte Avançado tipo "D"</t>
  </si>
  <si>
    <t>TOTAL MENSAL POR  FUNCIONÁRIO CEMETRON - AMBULANCIA TIPO "B"</t>
  </si>
  <si>
    <t>TOTAL MENSAL POR  FUNCIONÁRIO CEMETRON - AMBULANCIA TIPO "D"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</si>
  <si>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</si>
  <si>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</si>
  <si>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</si>
  <si>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</si>
  <si>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</si>
  <si>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</si>
  <si>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</si>
  <si>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</si>
  <si>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"D"</t>
  </si>
  <si>
    <t>Ambulância Tipo "B"</t>
  </si>
  <si>
    <t>INFORMAÇÃO:</t>
  </si>
  <si>
    <t>Total Ambulância Tipo "D"</t>
  </si>
  <si>
    <t>Total Ambulância Tipo "B"</t>
  </si>
  <si>
    <t>LOTE II - CENTRO DE MEDICINA TROPICAL-CEMETRON E HOSPITAL REGIONAL SÃO FRANCISCO DO GUAPORÉ-HRSF</t>
  </si>
  <si>
    <t>ITEM</t>
  </si>
  <si>
    <t>DEFINIÇÃO/CLASSIFICAÇÃO DOS VEÍCULO/AMBULÂNCIA</t>
  </si>
  <si>
    <t>UNIDADE</t>
  </si>
  <si>
    <t>QUANTIDADE</t>
  </si>
  <si>
    <t xml:space="preserve">VALOR UNITÁRIO (R$) 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</si>
  <si>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</si>
  <si>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</si>
  <si>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Diurno</t>
  </si>
  <si>
    <t xml:space="preserve">CEMETRON - TIPO "B" </t>
  </si>
  <si>
    <t xml:space="preserve">CEMETRON - TIPO "D" </t>
  </si>
  <si>
    <t xml:space="preserve">HRSF - TIPO "B" </t>
  </si>
  <si>
    <t xml:space="preserve">HRSF - TIPO "D" </t>
  </si>
  <si>
    <t>Motorista - Noturno</t>
  </si>
  <si>
    <t>LEI Nº 14.434/2022</t>
  </si>
  <si>
    <t xml:space="preserve">Médico - Diurno </t>
  </si>
  <si>
    <t>VALOR TOTAL (R$) - LOTE II:</t>
  </si>
  <si>
    <t xml:space="preserve">TOTAL MENSAL POR  FUNCIONÁRIO HRSF - AMBULANCIA TIPO "B" </t>
  </si>
  <si>
    <t>TOTAL MENSAL POR  FUNCIONÁRIO HRSF - AMBULANCIA TIPO "D"</t>
  </si>
  <si>
    <t xml:space="preserve">Periodicidade 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</si>
  <si>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</si>
  <si>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</si>
  <si>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</si>
  <si>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</si>
  <si>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</si>
  <si>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</si>
  <si>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CARGA
HORÁRIA</t>
  </si>
  <si>
    <t>VALOR TOTAL MENSAL (R$)</t>
  </si>
  <si>
    <t>VALOR TOTAL ANUAL (R$)</t>
  </si>
  <si>
    <t>24 horas/dia
(7 dias por
semana)</t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</si>
  <si>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</t>
    </r>
    <r>
      <rPr>
        <b/>
        <sz val="11"/>
        <rFont val="Calibri"/>
        <family val="2"/>
        <scheme val="minor"/>
      </rPr>
      <t xml:space="preserve"> (HOSPITAL REGIONAL DE SÃO FRANCISCO DO GUAPORÉ - HRSF)</t>
    </r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</si>
  <si>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VeículoModelo Furgão destinado ao transporte inter 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(HOSPITAL REGIONAL DE SÃO FRANCISCO DO GUAPORÉ - HRSF)</t>
    </r>
  </si>
  <si>
    <t>SERVIÇO</t>
  </si>
  <si>
    <t>Motorista/Socorrista - Diurno</t>
  </si>
  <si>
    <t xml:space="preserve">Motorista/Socorrista - Noturno </t>
  </si>
  <si>
    <r>
      <t xml:space="preserve">Ambulância de Suporte Básico </t>
    </r>
    <r>
      <rPr>
        <b/>
        <sz val="11"/>
        <color rgb="FF000000"/>
        <rFont val="Calibri"/>
        <family val="2"/>
        <scheme val="minor"/>
      </rPr>
      <t>TIPO "B”</t>
    </r>
    <r>
      <rPr>
        <sz val="11"/>
        <color rgb="FF000000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color rgb="FF000000"/>
        <rFont val="Calibri"/>
        <family val="2"/>
        <scheme val="minor"/>
      </rPr>
      <t>(CENTRO DE MEDICINA TROPICAL DE RONDÔNIA - CEMETRON)</t>
    </r>
  </si>
  <si>
    <t>Quantidade Anual</t>
  </si>
  <si>
    <t xml:space="preserve">Quantidade Mensal </t>
  </si>
  <si>
    <t>Valor m3</t>
  </si>
  <si>
    <t>OXIGÊNIO GASOSO</t>
  </si>
  <si>
    <t>m3</t>
  </si>
  <si>
    <t>AR COMPRIMIDO MEDICINAL</t>
  </si>
  <si>
    <t xml:space="preserve">RO000003/2025
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</si>
  <si>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</si>
  <si>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</si>
  <si>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</si>
  <si>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</si>
  <si>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</si>
  <si>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</si>
  <si>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</si>
  <si>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</si>
  <si>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t xml:space="preserve"> RO000003/2025
</t>
  </si>
  <si>
    <t>RO000003/2025 e LEI Nº 14.434/2022</t>
  </si>
  <si>
    <t>Subtotal (A+B+C+D+E)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</si>
  <si>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para 2024, uma alíquota de 6,97, sobre o valor de 2023; e, finalmente, para 2025, a alíquota de 7,5%, sobre o valor de 2024.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</si>
  <si>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>Substituto na Cobertura de Ausências Legais (faltas legais)</t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</si>
  <si>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(CENTRO DE MEDICINA TROPICAL DE RONDÔNIA - CEMETRON)</t>
    </r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</si>
  <si>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</si>
  <si>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</si>
  <si>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</si>
  <si>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</si>
  <si>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</si>
  <si>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</si>
  <si>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</si>
  <si>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color theme="1"/>
        <rFont val="Calibri"/>
        <family val="2"/>
        <scheme val="minor"/>
      </rPr>
      <t>O Termo de Referência do processo licitatório 0036.109115/2022-75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13.2.12.</t>
    </r>
    <r>
      <rPr>
        <sz val="11"/>
        <color theme="1"/>
        <rFont val="Calibri"/>
        <family val="2"/>
        <scheme val="minor"/>
      </rPr>
      <t xml:space="preserve">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</t>
    </r>
    <r>
      <rPr>
        <sz val="11"/>
        <color theme="1"/>
        <rFont val="Calibri"/>
        <family val="2"/>
        <scheme val="minor"/>
      </rPr>
      <t>,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</si>
  <si>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t>O Termo de Referência do processo licitatório 0036.109115/2022-75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</si>
  <si>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r>
      <rPr>
        <b/>
        <sz val="11"/>
        <color theme="1"/>
        <rFont val="Calibri"/>
        <family val="2"/>
        <scheme val="minor"/>
      </rPr>
      <t>O Termo de Referência do processo licitatório 0036.109115/2022-75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</t>
    </r>
    <r>
      <rPr>
        <sz val="11"/>
        <color theme="1"/>
        <rFont val="Calibri"/>
        <family val="2"/>
        <scheme val="minor"/>
      </rPr>
      <t xml:space="preserve">.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</t>
    </r>
    <r>
      <rPr>
        <sz val="11"/>
        <color theme="1"/>
        <rFont val="Calibri"/>
        <family val="2"/>
        <scheme val="minor"/>
      </rPr>
      <t>.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</si>
  <si>
    <t>Incidência do submódulo 2.2 sobre aviso prévio trabalhado (36,80% sobre o valor do Aviso Prévio Trabalhado)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</si>
</sst>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25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7" fillId="0" borderId="0"/>
  </cellStyleXfs>
  <cellXfs count="459">
    <xf numFmtId="0" fontId="0" fillId="0" borderId="0" xfId="0"/>
    <xf numFmtId="0" fontId="6" fillId="2" borderId="9" xfId="0" applyFont="1" applyFill="1" applyBorder="1" applyAlignment="1">
      <alignment wrapText="1"/>
    </xf>
    <xf numFmtId="0" fontId="6" fillId="2" borderId="10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0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0" xfId="0" applyFont="1" applyFill="1" applyBorder="1" applyAlignment="1">
      <alignment horizontal="center" wrapText="1"/>
    </xf>
    <xf numFmtId="0" fontId="9" fillId="2" borderId="10" xfId="0" applyFont="1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/>
    <xf numFmtId="0" fontId="9" fillId="2" borderId="11" xfId="0" applyFont="1" applyFill="1" applyBorder="1" applyAlignment="1">
      <alignment horizont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3" borderId="10" xfId="0" applyFill="1" applyBorder="1"/>
    <xf numFmtId="0" fontId="0" fillId="3" borderId="10" xfId="0" applyFill="1" applyBorder="1" applyAlignment="1">
      <alignment horizontal="center"/>
    </xf>
    <xf numFmtId="0" fontId="0" fillId="0" borderId="11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14" xfId="0" applyFont="1" applyBorder="1" applyAlignment="1">
      <alignment horizontal="justify" vertical="center" wrapText="1"/>
    </xf>
    <xf numFmtId="0" fontId="19" fillId="0" borderId="7" xfId="0" applyFont="1" applyBorder="1" applyAlignment="1">
      <alignment horizontal="justify" vertical="center" wrapText="1"/>
    </xf>
    <xf numFmtId="0" fontId="19" fillId="0" borderId="6" xfId="0" applyFont="1" applyBorder="1" applyAlignment="1">
      <alignment horizontal="justify" vertical="center" wrapText="1"/>
    </xf>
    <xf numFmtId="0" fontId="19" fillId="0" borderId="15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1" xfId="0" applyFont="1" applyBorder="1" applyAlignment="1">
      <alignment horizontal="center" vertical="center"/>
    </xf>
    <xf numFmtId="165" fontId="23" fillId="7" borderId="12" xfId="0" applyNumberFormat="1" applyFont="1" applyFill="1" applyBorder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 shrinkToFit="1"/>
    </xf>
    <xf numFmtId="0" fontId="23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3" fillId="5" borderId="18" xfId="0" applyFont="1" applyFill="1" applyBorder="1" applyAlignment="1">
      <alignment horizontal="center" vertical="center"/>
    </xf>
    <xf numFmtId="0" fontId="23" fillId="5" borderId="17" xfId="0" applyFont="1" applyFill="1" applyBorder="1" applyAlignment="1">
      <alignment horizontal="center" vertical="center"/>
    </xf>
    <xf numFmtId="165" fontId="22" fillId="0" borderId="1" xfId="7" applyNumberFormat="1" applyFont="1" applyBorder="1" applyAlignment="1">
      <alignment horizontal="center" vertical="center"/>
    </xf>
    <xf numFmtId="165" fontId="22" fillId="0" borderId="17" xfId="7" applyNumberFormat="1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6" fillId="0" borderId="0" xfId="12" applyAlignment="1">
      <alignment horizontal="left" vertical="top"/>
    </xf>
    <xf numFmtId="0" fontId="24" fillId="2" borderId="1" xfId="0" applyFont="1" applyFill="1" applyBorder="1" applyAlignment="1">
      <alignment horizontal="center" vertical="center"/>
    </xf>
    <xf numFmtId="0" fontId="24" fillId="2" borderId="26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165" fontId="22" fillId="0" borderId="2" xfId="7" applyNumberFormat="1" applyFont="1" applyBorder="1" applyAlignment="1">
      <alignment horizontal="center" vertical="center"/>
    </xf>
    <xf numFmtId="165" fontId="22" fillId="0" borderId="21" xfId="7" applyNumberFormat="1" applyFont="1" applyBorder="1" applyAlignment="1">
      <alignment horizontal="center" vertical="center"/>
    </xf>
    <xf numFmtId="1" fontId="24" fillId="0" borderId="1" xfId="12" applyNumberFormat="1" applyFont="1" applyBorder="1" applyAlignment="1">
      <alignment horizontal="center" vertical="center" shrinkToFit="1"/>
    </xf>
    <xf numFmtId="0" fontId="22" fillId="0" borderId="1" xfId="12" applyFont="1" applyBorder="1" applyAlignment="1">
      <alignment horizontal="center" vertical="center" wrapText="1"/>
    </xf>
    <xf numFmtId="1" fontId="24" fillId="0" borderId="18" xfId="12" applyNumberFormat="1" applyFont="1" applyBorder="1" applyAlignment="1">
      <alignment horizontal="center" vertical="center" shrinkToFit="1"/>
    </xf>
    <xf numFmtId="0" fontId="22" fillId="2" borderId="20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2" fillId="2" borderId="30" xfId="0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1" fontId="24" fillId="0" borderId="8" xfId="0" applyNumberFormat="1" applyFont="1" applyBorder="1" applyAlignment="1">
      <alignment horizontal="center" vertical="center" shrinkToFit="1"/>
    </xf>
    <xf numFmtId="165" fontId="22" fillId="0" borderId="8" xfId="0" applyNumberFormat="1" applyFont="1" applyBorder="1" applyAlignment="1">
      <alignment horizontal="center" vertical="center"/>
    </xf>
    <xf numFmtId="165" fontId="22" fillId="0" borderId="8" xfId="7" applyNumberFormat="1" applyFont="1" applyBorder="1" applyAlignment="1">
      <alignment horizontal="center" vertical="center"/>
    </xf>
    <xf numFmtId="165" fontId="22" fillId="0" borderId="22" xfId="7" applyNumberFormat="1" applyFont="1" applyBorder="1" applyAlignment="1">
      <alignment horizontal="center" vertical="center"/>
    </xf>
    <xf numFmtId="165" fontId="23" fillId="5" borderId="1" xfId="0" applyNumberFormat="1" applyFont="1" applyFill="1" applyBorder="1" applyAlignment="1">
      <alignment horizontal="center" vertical="center"/>
    </xf>
    <xf numFmtId="165" fontId="23" fillId="5" borderId="17" xfId="0" applyNumberFormat="1" applyFont="1" applyFill="1" applyBorder="1" applyAlignment="1">
      <alignment horizontal="center" vertical="center"/>
    </xf>
    <xf numFmtId="165" fontId="24" fillId="0" borderId="1" xfId="12" applyNumberFormat="1" applyFont="1" applyBorder="1" applyAlignment="1">
      <alignment horizontal="center" vertical="center" wrapText="1"/>
    </xf>
    <xf numFmtId="165" fontId="24" fillId="0" borderId="17" xfId="12" applyNumberFormat="1" applyFont="1" applyBorder="1" applyAlignment="1">
      <alignment horizontal="center" vertical="center" wrapText="1"/>
    </xf>
    <xf numFmtId="165" fontId="23" fillId="5" borderId="12" xfId="7" applyNumberFormat="1" applyFont="1" applyFill="1" applyBorder="1" applyAlignment="1">
      <alignment horizontal="center" vertical="center"/>
    </xf>
    <xf numFmtId="165" fontId="23" fillId="5" borderId="22" xfId="7" applyNumberFormat="1" applyFont="1" applyFill="1" applyBorder="1" applyAlignment="1">
      <alignment horizontal="center" vertical="center"/>
    </xf>
    <xf numFmtId="165" fontId="23" fillId="7" borderId="12" xfId="12" applyNumberFormat="1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165" fontId="22" fillId="2" borderId="1" xfId="7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" fontId="24" fillId="2" borderId="1" xfId="0" applyNumberFormat="1" applyFont="1" applyFill="1" applyBorder="1" applyAlignment="1">
      <alignment horizontal="center" vertical="center" shrinkToFit="1"/>
    </xf>
    <xf numFmtId="0" fontId="22" fillId="2" borderId="18" xfId="0" applyFont="1" applyFill="1" applyBorder="1" applyAlignment="1">
      <alignment horizontal="center" vertical="center"/>
    </xf>
    <xf numFmtId="165" fontId="22" fillId="2" borderId="17" xfId="7" applyNumberFormat="1" applyFont="1" applyFill="1" applyBorder="1" applyAlignment="1">
      <alignment horizontal="center" vertical="center"/>
    </xf>
    <xf numFmtId="1" fontId="22" fillId="0" borderId="20" xfId="12" applyNumberFormat="1" applyFont="1" applyBorder="1" applyAlignment="1">
      <alignment horizontal="center" vertical="center" shrinkToFit="1"/>
    </xf>
    <xf numFmtId="0" fontId="22" fillId="0" borderId="2" xfId="12" applyFont="1" applyBorder="1" applyAlignment="1">
      <alignment horizontal="center" vertical="center" wrapText="1"/>
    </xf>
    <xf numFmtId="1" fontId="22" fillId="0" borderId="2" xfId="12" applyNumberFormat="1" applyFont="1" applyBorder="1" applyAlignment="1">
      <alignment horizontal="center" vertical="center" shrinkToFit="1"/>
    </xf>
    <xf numFmtId="165" fontId="22" fillId="0" borderId="2" xfId="12" applyNumberFormat="1" applyFont="1" applyBorder="1" applyAlignment="1">
      <alignment horizontal="center" vertical="center" wrapText="1"/>
    </xf>
    <xf numFmtId="165" fontId="22" fillId="0" borderId="21" xfId="12" applyNumberFormat="1" applyFont="1" applyBorder="1" applyAlignment="1">
      <alignment horizontal="center" vertical="center" wrapText="1"/>
    </xf>
    <xf numFmtId="165" fontId="23" fillId="7" borderId="7" xfId="12" applyNumberFormat="1" applyFont="1" applyFill="1" applyBorder="1" applyAlignment="1">
      <alignment horizontal="center" vertical="center" wrapText="1"/>
    </xf>
    <xf numFmtId="0" fontId="28" fillId="5" borderId="0" xfId="0" applyFont="1" applyFill="1" applyBorder="1" applyAlignment="1">
      <alignment horizontal="center" vertical="center" wrapText="1"/>
    </xf>
    <xf numFmtId="0" fontId="22" fillId="2" borderId="2" xfId="15" applyFont="1" applyFill="1" applyBorder="1" applyAlignment="1">
      <alignment horizontal="left" vertical="center" wrapText="1"/>
    </xf>
    <xf numFmtId="0" fontId="24" fillId="0" borderId="1" xfId="15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/>
    </xf>
    <xf numFmtId="165" fontId="26" fillId="0" borderId="0" xfId="12" applyNumberFormat="1" applyAlignment="1">
      <alignment horizontal="left" vertical="top"/>
    </xf>
    <xf numFmtId="0" fontId="24" fillId="0" borderId="2" xfId="0" applyNumberFormat="1" applyFont="1" applyBorder="1" applyAlignment="1">
      <alignment horizontal="center" vertical="center" shrinkToFit="1"/>
    </xf>
    <xf numFmtId="0" fontId="22" fillId="0" borderId="25" xfId="0" applyFont="1" applyBorder="1" applyAlignment="1">
      <alignment horizontal="center" vertical="center"/>
    </xf>
    <xf numFmtId="0" fontId="30" fillId="0" borderId="38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1" fontId="24" fillId="0" borderId="23" xfId="0" applyNumberFormat="1" applyFont="1" applyBorder="1" applyAlignment="1">
      <alignment horizontal="center" vertical="center" shrinkToFit="1"/>
    </xf>
    <xf numFmtId="165" fontId="22" fillId="0" borderId="38" xfId="7" applyNumberFormat="1" applyFont="1" applyBorder="1" applyAlignment="1">
      <alignment horizontal="center" vertical="center"/>
    </xf>
    <xf numFmtId="165" fontId="22" fillId="0" borderId="39" xfId="7" applyNumberFormat="1" applyFont="1" applyBorder="1" applyAlignment="1">
      <alignment horizontal="center" vertical="center"/>
    </xf>
    <xf numFmtId="0" fontId="23" fillId="5" borderId="3" xfId="0" applyFont="1" applyFill="1" applyBorder="1" applyAlignment="1">
      <alignment horizontal="center" vertical="center" wrapText="1"/>
    </xf>
    <xf numFmtId="0" fontId="23" fillId="5" borderId="24" xfId="0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/>
    </xf>
    <xf numFmtId="0" fontId="24" fillId="0" borderId="23" xfId="0" applyNumberFormat="1" applyFont="1" applyBorder="1" applyAlignment="1">
      <alignment horizontal="center" vertical="center" shrinkToFit="1"/>
    </xf>
    <xf numFmtId="165" fontId="22" fillId="0" borderId="23" xfId="7" applyNumberFormat="1" applyFont="1" applyBorder="1" applyAlignment="1">
      <alignment horizontal="center" vertical="center"/>
    </xf>
    <xf numFmtId="165" fontId="22" fillId="0" borderId="41" xfId="7" applyNumberFormat="1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165" fontId="22" fillId="2" borderId="1" xfId="0" applyNumberFormat="1" applyFont="1" applyFill="1" applyBorder="1" applyAlignment="1">
      <alignment horizontal="center" vertical="center"/>
    </xf>
    <xf numFmtId="165" fontId="2" fillId="7" borderId="11" xfId="7" applyNumberFormat="1" applyFont="1" applyFill="1" applyBorder="1" applyAlignment="1">
      <alignment horizontal="center"/>
    </xf>
    <xf numFmtId="0" fontId="0" fillId="0" borderId="3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1" fontId="24" fillId="2" borderId="8" xfId="0" applyNumberFormat="1" applyFont="1" applyFill="1" applyBorder="1" applyAlignment="1">
      <alignment horizontal="center" vertical="center" shrinkToFit="1"/>
    </xf>
    <xf numFmtId="165" fontId="22" fillId="2" borderId="8" xfId="7" applyNumberFormat="1" applyFont="1" applyFill="1" applyBorder="1" applyAlignment="1">
      <alignment horizontal="center" vertical="center"/>
    </xf>
    <xf numFmtId="165" fontId="22" fillId="2" borderId="22" xfId="7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5" fontId="1" fillId="2" borderId="26" xfId="0" applyNumberFormat="1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/>
    </xf>
    <xf numFmtId="165" fontId="1" fillId="2" borderId="26" xfId="0" applyNumberFormat="1" applyFont="1" applyFill="1" applyBorder="1" applyAlignment="1">
      <alignment horizontal="center" vertical="center"/>
    </xf>
    <xf numFmtId="165" fontId="1" fillId="2" borderId="28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17" xfId="0" applyNumberFormat="1" applyFont="1" applyFill="1" applyBorder="1" applyAlignment="1">
      <alignment horizontal="center" vertical="center"/>
    </xf>
    <xf numFmtId="165" fontId="1" fillId="2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165" fontId="1" fillId="2" borderId="22" xfId="0" applyNumberFormat="1" applyFont="1" applyFill="1" applyBorder="1" applyAlignment="1">
      <alignment horizontal="center" vertical="center"/>
    </xf>
    <xf numFmtId="165" fontId="1" fillId="2" borderId="8" xfId="0" applyNumberFormat="1" applyFont="1" applyFill="1" applyBorder="1" applyAlignment="1">
      <alignment horizontal="center" vertical="center" wrapText="1"/>
    </xf>
    <xf numFmtId="0" fontId="24" fillId="2" borderId="33" xfId="12" applyFont="1" applyFill="1" applyBorder="1" applyAlignment="1">
      <alignment horizontal="center" vertical="center"/>
    </xf>
    <xf numFmtId="0" fontId="24" fillId="2" borderId="0" xfId="12" applyFont="1" applyFill="1" applyBorder="1" applyAlignment="1">
      <alignment horizontal="center" vertical="center"/>
    </xf>
    <xf numFmtId="0" fontId="24" fillId="2" borderId="34" xfId="12" applyFont="1" applyFill="1" applyBorder="1" applyAlignment="1">
      <alignment horizontal="center" vertical="center"/>
    </xf>
    <xf numFmtId="0" fontId="28" fillId="5" borderId="40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28" fillId="5" borderId="23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right" vertical="center" wrapText="1"/>
    </xf>
    <xf numFmtId="0" fontId="23" fillId="8" borderId="1" xfId="5" applyFont="1" applyFill="1" applyBorder="1" applyAlignment="1">
      <alignment horizontal="center" vertical="center" wrapText="1"/>
    </xf>
    <xf numFmtId="0" fontId="23" fillId="10" borderId="1" xfId="5" applyFont="1" applyFill="1" applyBorder="1" applyAlignment="1">
      <alignment horizontal="center" vertical="center" wrapText="1"/>
    </xf>
    <xf numFmtId="0" fontId="23" fillId="10" borderId="17" xfId="5" applyFont="1" applyFill="1" applyBorder="1" applyAlignment="1">
      <alignment horizontal="center" vertical="center" wrapText="1"/>
    </xf>
    <xf numFmtId="165" fontId="23" fillId="2" borderId="1" xfId="5" applyNumberFormat="1" applyFont="1" applyFill="1" applyBorder="1" applyAlignment="1">
      <alignment horizontal="center" vertical="center" wrapText="1"/>
    </xf>
    <xf numFmtId="165" fontId="23" fillId="2" borderId="17" xfId="5" applyNumberFormat="1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/>
    </xf>
    <xf numFmtId="165" fontId="23" fillId="2" borderId="1" xfId="0" applyNumberFormat="1" applyFont="1" applyFill="1" applyBorder="1" applyAlignment="1">
      <alignment horizontal="center" vertical="center"/>
    </xf>
    <xf numFmtId="165" fontId="23" fillId="2" borderId="17" xfId="0" applyNumberFormat="1" applyFont="1" applyFill="1" applyBorder="1" applyAlignment="1">
      <alignment horizontal="center" vertical="center"/>
    </xf>
    <xf numFmtId="164" fontId="31" fillId="2" borderId="1" xfId="2" applyNumberFormat="1" applyFont="1" applyFill="1" applyBorder="1" applyAlignment="1">
      <alignment horizontal="justify" vertical="center"/>
    </xf>
    <xf numFmtId="165" fontId="31" fillId="2" borderId="1" xfId="2" applyNumberFormat="1" applyFont="1" applyFill="1" applyBorder="1" applyAlignment="1">
      <alignment horizontal="justify" vertical="center"/>
    </xf>
    <xf numFmtId="165" fontId="31" fillId="2" borderId="17" xfId="2" applyNumberFormat="1" applyFont="1" applyFill="1" applyBorder="1" applyAlignment="1">
      <alignment horizontal="justify" vertical="center"/>
    </xf>
    <xf numFmtId="165" fontId="23" fillId="2" borderId="1" xfId="2" applyNumberFormat="1" applyFont="1" applyFill="1" applyBorder="1" applyAlignment="1">
      <alignment horizontal="center" vertical="center"/>
    </xf>
    <xf numFmtId="165" fontId="22" fillId="2" borderId="1" xfId="2" applyNumberFormat="1" applyFont="1" applyFill="1" applyBorder="1" applyAlignment="1">
      <alignment horizontal="center" vertical="center"/>
    </xf>
    <xf numFmtId="165" fontId="22" fillId="2" borderId="17" xfId="2" applyNumberFormat="1" applyFont="1" applyFill="1" applyBorder="1" applyAlignment="1">
      <alignment horizontal="center" vertical="center"/>
    </xf>
    <xf numFmtId="164" fontId="23" fillId="2" borderId="1" xfId="2" applyNumberFormat="1" applyFont="1" applyFill="1" applyBorder="1" applyAlignment="1">
      <alignment horizontal="justify" vertical="center"/>
    </xf>
    <xf numFmtId="165" fontId="23" fillId="2" borderId="1" xfId="2" applyNumberFormat="1" applyFont="1" applyFill="1" applyBorder="1" applyAlignment="1">
      <alignment horizontal="justify" vertical="center"/>
    </xf>
    <xf numFmtId="165" fontId="23" fillId="2" borderId="17" xfId="2" applyNumberFormat="1" applyFont="1" applyFill="1" applyBorder="1" applyAlignment="1">
      <alignment horizontal="justify" vertical="center"/>
    </xf>
    <xf numFmtId="0" fontId="22" fillId="2" borderId="1" xfId="5" applyFont="1" applyFill="1" applyBorder="1" applyAlignment="1">
      <alignment vertical="center" wrapText="1"/>
    </xf>
    <xf numFmtId="165" fontId="23" fillId="6" borderId="1" xfId="5" applyNumberFormat="1" applyFont="1" applyFill="1" applyBorder="1" applyAlignment="1">
      <alignment horizontal="center" vertical="center" wrapText="1"/>
    </xf>
    <xf numFmtId="165" fontId="23" fillId="6" borderId="17" xfId="5" applyNumberFormat="1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vertical="center"/>
    </xf>
    <xf numFmtId="0" fontId="23" fillId="4" borderId="17" xfId="5" applyFont="1" applyFill="1" applyBorder="1" applyAlignment="1">
      <alignment vertical="center"/>
    </xf>
    <xf numFmtId="165" fontId="23" fillId="0" borderId="1" xfId="5" applyNumberFormat="1" applyFont="1" applyBorder="1" applyAlignment="1">
      <alignment horizontal="center" vertical="center" wrapText="1"/>
    </xf>
    <xf numFmtId="165" fontId="23" fillId="0" borderId="17" xfId="5" applyNumberFormat="1" applyFont="1" applyBorder="1" applyAlignment="1">
      <alignment horizontal="center" vertical="center" wrapText="1"/>
    </xf>
    <xf numFmtId="0" fontId="22" fillId="0" borderId="18" xfId="5" applyFont="1" applyBorder="1" applyAlignment="1">
      <alignment horizontal="center" vertical="center" wrapText="1"/>
    </xf>
    <xf numFmtId="0" fontId="22" fillId="0" borderId="1" xfId="5" applyFont="1" applyBorder="1" applyAlignment="1">
      <alignment vertical="center" wrapText="1"/>
    </xf>
    <xf numFmtId="10" fontId="22" fillId="0" borderId="1" xfId="2" applyNumberFormat="1" applyFont="1" applyFill="1" applyBorder="1" applyAlignment="1">
      <alignment horizontal="center" vertical="center"/>
    </xf>
    <xf numFmtId="165" fontId="22" fillId="0" borderId="1" xfId="2" applyNumberFormat="1" applyFont="1" applyFill="1" applyBorder="1" applyAlignment="1">
      <alignment horizontal="center" vertical="center"/>
    </xf>
    <xf numFmtId="165" fontId="22" fillId="0" borderId="17" xfId="2" applyNumberFormat="1" applyFont="1" applyFill="1" applyBorder="1" applyAlignment="1">
      <alignment horizontal="center" vertical="center"/>
    </xf>
    <xf numFmtId="10" fontId="23" fillId="5" borderId="1" xfId="0" applyNumberFormat="1" applyFont="1" applyFill="1" applyBorder="1" applyAlignment="1">
      <alignment horizontal="center" vertical="center" wrapText="1"/>
    </xf>
    <xf numFmtId="165" fontId="23" fillId="5" borderId="1" xfId="0" applyNumberFormat="1" applyFont="1" applyFill="1" applyBorder="1" applyAlignment="1">
      <alignment horizontal="center" vertical="center" wrapText="1"/>
    </xf>
    <xf numFmtId="165" fontId="23" fillId="5" borderId="17" xfId="0" applyNumberFormat="1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10" fontId="0" fillId="0" borderId="1" xfId="0" applyNumberFormat="1" applyFont="1" applyBorder="1" applyAlignment="1">
      <alignment horizontal="center" vertical="center"/>
    </xf>
    <xf numFmtId="0" fontId="23" fillId="0" borderId="1" xfId="6" applyFont="1" applyFill="1" applyBorder="1" applyAlignment="1" applyProtection="1">
      <alignment horizontal="left" vertical="center"/>
    </xf>
    <xf numFmtId="0" fontId="23" fillId="0" borderId="1" xfId="0" applyFont="1" applyBorder="1" applyAlignment="1">
      <alignment horizontal="left" vertical="center"/>
    </xf>
    <xf numFmtId="10" fontId="23" fillId="5" borderId="1" xfId="2" applyNumberFormat="1" applyFont="1" applyFill="1" applyBorder="1" applyAlignment="1">
      <alignment horizontal="center" vertical="center"/>
    </xf>
    <xf numFmtId="165" fontId="23" fillId="5" borderId="1" xfId="2" applyNumberFormat="1" applyFont="1" applyFill="1" applyBorder="1" applyAlignment="1">
      <alignment horizontal="center" vertical="center"/>
    </xf>
    <xf numFmtId="165" fontId="23" fillId="5" borderId="17" xfId="2" applyNumberFormat="1" applyFont="1" applyFill="1" applyBorder="1" applyAlignment="1">
      <alignment horizontal="center" vertical="center"/>
    </xf>
    <xf numFmtId="0" fontId="2" fillId="4" borderId="18" xfId="5" applyFont="1" applyFill="1" applyBorder="1" applyAlignment="1">
      <alignment horizontal="center"/>
    </xf>
    <xf numFmtId="165" fontId="2" fillId="4" borderId="17" xfId="5" applyNumberFormat="1" applyFont="1" applyFill="1" applyBorder="1" applyAlignment="1">
      <alignment horizontal="center" vertical="center" wrapText="1"/>
    </xf>
    <xf numFmtId="0" fontId="22" fillId="2" borderId="18" xfId="5" applyFont="1" applyFill="1" applyBorder="1" applyAlignment="1">
      <alignment horizontal="center" vertical="center"/>
    </xf>
    <xf numFmtId="0" fontId="22" fillId="2" borderId="1" xfId="5" applyFont="1" applyFill="1" applyBorder="1" applyAlignment="1">
      <alignment vertical="center"/>
    </xf>
    <xf numFmtId="2" fontId="22" fillId="2" borderId="1" xfId="5" applyNumberFormat="1" applyFont="1" applyFill="1" applyBorder="1" applyAlignment="1">
      <alignment horizontal="center" vertical="center"/>
    </xf>
    <xf numFmtId="165" fontId="22" fillId="2" borderId="1" xfId="0" quotePrefix="1" applyNumberFormat="1" applyFont="1" applyFill="1" applyBorder="1" applyAlignment="1">
      <alignment horizontal="center" vertical="center"/>
    </xf>
    <xf numFmtId="165" fontId="23" fillId="2" borderId="1" xfId="0" quotePrefix="1" applyNumberFormat="1" applyFont="1" applyFill="1" applyBorder="1" applyAlignment="1">
      <alignment horizontal="center" vertical="center"/>
    </xf>
    <xf numFmtId="165" fontId="23" fillId="2" borderId="17" xfId="0" quotePrefix="1" applyNumberFormat="1" applyFont="1" applyFill="1" applyBorder="1" applyAlignment="1">
      <alignment horizontal="center" vertical="center"/>
    </xf>
    <xf numFmtId="0" fontId="22" fillId="2" borderId="18" xfId="5" applyFont="1" applyFill="1" applyBorder="1" applyAlignment="1">
      <alignment horizontal="center" vertical="center" wrapText="1"/>
    </xf>
    <xf numFmtId="165" fontId="22" fillId="2" borderId="17" xfId="0" applyNumberFormat="1" applyFont="1" applyFill="1" applyBorder="1" applyAlignment="1">
      <alignment horizontal="center" vertical="center"/>
    </xf>
    <xf numFmtId="164" fontId="23" fillId="0" borderId="1" xfId="2" applyNumberFormat="1" applyFont="1" applyFill="1" applyBorder="1" applyAlignment="1">
      <alignment horizontal="center" vertical="center"/>
    </xf>
    <xf numFmtId="165" fontId="22" fillId="0" borderId="1" xfId="0" quotePrefix="1" applyNumberFormat="1" applyFont="1" applyBorder="1" applyAlignment="1">
      <alignment horizontal="center" vertical="center"/>
    </xf>
    <xf numFmtId="165" fontId="22" fillId="0" borderId="17" xfId="0" quotePrefix="1" applyNumberFormat="1" applyFont="1" applyBorder="1" applyAlignment="1">
      <alignment horizontal="center" vertical="center"/>
    </xf>
    <xf numFmtId="165" fontId="23" fillId="0" borderId="1" xfId="2" applyNumberFormat="1" applyFont="1" applyFill="1" applyBorder="1" applyAlignment="1">
      <alignment horizontal="center" vertical="center"/>
    </xf>
    <xf numFmtId="165" fontId="23" fillId="5" borderId="1" xfId="5" applyNumberFormat="1" applyFont="1" applyFill="1" applyBorder="1" applyAlignment="1">
      <alignment horizontal="center" vertical="center" wrapText="1"/>
    </xf>
    <xf numFmtId="165" fontId="23" fillId="5" borderId="17" xfId="5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 wrapText="1"/>
    </xf>
    <xf numFmtId="10" fontId="23" fillId="2" borderId="1" xfId="2" applyNumberFormat="1" applyFont="1" applyFill="1" applyBorder="1" applyAlignment="1">
      <alignment vertical="center"/>
    </xf>
    <xf numFmtId="165" fontId="23" fillId="2" borderId="1" xfId="0" applyNumberFormat="1" applyFont="1" applyFill="1" applyBorder="1" applyAlignment="1">
      <alignment horizontal="right" vertical="center"/>
    </xf>
    <xf numFmtId="165" fontId="23" fillId="2" borderId="17" xfId="0" applyNumberFormat="1" applyFont="1" applyFill="1" applyBorder="1" applyAlignment="1">
      <alignment horizontal="right" vertical="center"/>
    </xf>
    <xf numFmtId="10" fontId="23" fillId="2" borderId="1" xfId="2" applyNumberFormat="1" applyFont="1" applyFill="1" applyBorder="1" applyAlignment="1">
      <alignment horizontal="center" vertical="center"/>
    </xf>
    <xf numFmtId="10" fontId="23" fillId="5" borderId="1" xfId="5" applyNumberFormat="1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vertical="center"/>
    </xf>
    <xf numFmtId="0" fontId="23" fillId="2" borderId="17" xfId="5" applyFont="1" applyFill="1" applyBorder="1" applyAlignment="1">
      <alignment vertical="center"/>
    </xf>
    <xf numFmtId="0" fontId="23" fillId="4" borderId="1" xfId="5" applyFont="1" applyFill="1" applyBorder="1" applyAlignment="1">
      <alignment vertical="center" wrapText="1"/>
    </xf>
    <xf numFmtId="0" fontId="23" fillId="4" borderId="17" xfId="5" applyFont="1" applyFill="1" applyBorder="1" applyAlignment="1">
      <alignment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2" fillId="0" borderId="17" xfId="0" applyNumberFormat="1" applyFont="1" applyBorder="1" applyAlignment="1">
      <alignment horizontal="center" vertical="center"/>
    </xf>
    <xf numFmtId="165" fontId="23" fillId="6" borderId="1" xfId="0" applyNumberFormat="1" applyFont="1" applyFill="1" applyBorder="1" applyAlignment="1">
      <alignment horizontal="center" vertical="center"/>
    </xf>
    <xf numFmtId="165" fontId="23" fillId="6" borderId="17" xfId="0" applyNumberFormat="1" applyFont="1" applyFill="1" applyBorder="1" applyAlignment="1">
      <alignment horizontal="center" vertical="center"/>
    </xf>
    <xf numFmtId="165" fontId="23" fillId="4" borderId="1" xfId="5" applyNumberFormat="1" applyFont="1" applyFill="1" applyBorder="1" applyAlignment="1">
      <alignment horizontal="center" vertical="center" wrapText="1"/>
    </xf>
    <xf numFmtId="165" fontId="23" fillId="4" borderId="17" xfId="5" applyNumberFormat="1" applyFont="1" applyFill="1" applyBorder="1" applyAlignment="1">
      <alignment horizontal="center" vertical="center" wrapText="1"/>
    </xf>
    <xf numFmtId="10" fontId="22" fillId="2" borderId="1" xfId="2" applyNumberFormat="1" applyFont="1" applyFill="1" applyBorder="1" applyAlignment="1">
      <alignment horizontal="center" vertical="center"/>
    </xf>
    <xf numFmtId="10" fontId="22" fillId="0" borderId="1" xfId="0" applyNumberFormat="1" applyFont="1" applyBorder="1" applyAlignment="1">
      <alignment horizontal="center" vertical="center"/>
    </xf>
    <xf numFmtId="165" fontId="22" fillId="0" borderId="1" xfId="5" applyNumberFormat="1" applyFont="1" applyBorder="1" applyAlignment="1">
      <alignment horizontal="center" vertical="center" wrapText="1"/>
    </xf>
    <xf numFmtId="165" fontId="22" fillId="0" borderId="17" xfId="5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10" fontId="23" fillId="0" borderId="1" xfId="0" applyNumberFormat="1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165" fontId="23" fillId="0" borderId="17" xfId="0" applyNumberFormat="1" applyFont="1" applyBorder="1" applyAlignment="1">
      <alignment horizontal="center" vertical="center"/>
    </xf>
    <xf numFmtId="165" fontId="23" fillId="3" borderId="1" xfId="5" applyNumberFormat="1" applyFont="1" applyFill="1" applyBorder="1" applyAlignment="1">
      <alignment horizontal="center" vertical="center" wrapText="1"/>
    </xf>
    <xf numFmtId="165" fontId="23" fillId="3" borderId="17" xfId="5" applyNumberFormat="1" applyFont="1" applyFill="1" applyBorder="1" applyAlignment="1">
      <alignment horizontal="center" vertical="center" wrapText="1"/>
    </xf>
    <xf numFmtId="165" fontId="23" fillId="5" borderId="8" xfId="5" applyNumberFormat="1" applyFont="1" applyFill="1" applyBorder="1" applyAlignment="1">
      <alignment horizontal="center" vertical="center" wrapText="1"/>
    </xf>
    <xf numFmtId="165" fontId="23" fillId="5" borderId="22" xfId="5" applyNumberFormat="1" applyFont="1" applyFill="1" applyBorder="1" applyAlignment="1">
      <alignment horizontal="center" vertical="center" wrapText="1"/>
    </xf>
    <xf numFmtId="165" fontId="22" fillId="2" borderId="17" xfId="0" quotePrefix="1" applyNumberFormat="1" applyFont="1" applyFill="1" applyBorder="1" applyAlignment="1">
      <alignment horizontal="center" vertical="center"/>
    </xf>
    <xf numFmtId="0" fontId="23" fillId="8" borderId="1" xfId="5" applyFont="1" applyFill="1" applyBorder="1" applyAlignment="1">
      <alignment vertical="center"/>
    </xf>
    <xf numFmtId="0" fontId="23" fillId="8" borderId="17" xfId="5" applyFont="1" applyFill="1" applyBorder="1" applyAlignment="1">
      <alignment vertical="center"/>
    </xf>
    <xf numFmtId="165" fontId="2" fillId="4" borderId="1" xfId="5" applyNumberFormat="1" applyFont="1" applyFill="1" applyBorder="1" applyAlignment="1">
      <alignment horizontal="center" vertical="center" wrapText="1"/>
    </xf>
    <xf numFmtId="165" fontId="22" fillId="2" borderId="1" xfId="5" applyNumberFormat="1" applyFont="1" applyFill="1" applyBorder="1" applyAlignment="1">
      <alignment horizontal="center" vertical="center"/>
    </xf>
    <xf numFmtId="165" fontId="23" fillId="2" borderId="1" xfId="5" applyNumberFormat="1" applyFont="1" applyFill="1" applyBorder="1" applyAlignment="1">
      <alignment horizontal="center" vertical="center"/>
    </xf>
    <xf numFmtId="165" fontId="23" fillId="2" borderId="17" xfId="5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165" fontId="23" fillId="4" borderId="1" xfId="0" applyNumberFormat="1" applyFont="1" applyFill="1" applyBorder="1" applyAlignment="1">
      <alignment horizontal="center" vertical="center"/>
    </xf>
    <xf numFmtId="165" fontId="23" fillId="4" borderId="17" xfId="0" applyNumberFormat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/>
    </xf>
    <xf numFmtId="165" fontId="22" fillId="0" borderId="17" xfId="1" applyNumberFormat="1" applyFont="1" applyFill="1" applyBorder="1" applyAlignment="1">
      <alignment horizontal="center" vertical="center"/>
    </xf>
    <xf numFmtId="165" fontId="23" fillId="9" borderId="1" xfId="5" applyNumberFormat="1" applyFont="1" applyFill="1" applyBorder="1" applyAlignment="1">
      <alignment horizontal="center" vertical="center" wrapText="1"/>
    </xf>
    <xf numFmtId="165" fontId="23" fillId="9" borderId="17" xfId="5" applyNumberFormat="1" applyFont="1" applyFill="1" applyBorder="1" applyAlignment="1">
      <alignment horizontal="center" vertical="center" wrapText="1"/>
    </xf>
    <xf numFmtId="165" fontId="23" fillId="5" borderId="8" xfId="0" applyNumberFormat="1" applyFont="1" applyFill="1" applyBorder="1" applyAlignment="1">
      <alignment horizontal="center" vertical="center"/>
    </xf>
    <xf numFmtId="165" fontId="23" fillId="5" borderId="22" xfId="0" applyNumberFormat="1" applyFont="1" applyFill="1" applyBorder="1" applyAlignment="1">
      <alignment horizontal="center" vertical="center"/>
    </xf>
    <xf numFmtId="0" fontId="2" fillId="4" borderId="1" xfId="5" applyFont="1" applyFill="1" applyBorder="1" applyAlignment="1">
      <alignment horizontal="center" vertical="center" wrapText="1"/>
    </xf>
    <xf numFmtId="10" fontId="22" fillId="0" borderId="1" xfId="5" applyNumberFormat="1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vertical="center"/>
    </xf>
    <xf numFmtId="4" fontId="23" fillId="2" borderId="1" xfId="0" applyNumberFormat="1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4" fontId="22" fillId="2" borderId="17" xfId="0" applyNumberFormat="1" applyFont="1" applyFill="1" applyBorder="1" applyAlignment="1">
      <alignment horizontal="center" vertical="center"/>
    </xf>
    <xf numFmtId="0" fontId="22" fillId="0" borderId="23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3" fillId="4" borderId="18" xfId="5" applyFont="1" applyFill="1" applyBorder="1" applyAlignment="1">
      <alignment horizontal="center" vertical="center" wrapText="1"/>
    </xf>
    <xf numFmtId="0" fontId="22" fillId="2" borderId="1" xfId="5" applyFont="1" applyFill="1" applyBorder="1" applyAlignment="1">
      <alignment horizontal="left" vertical="center" wrapText="1"/>
    </xf>
    <xf numFmtId="0" fontId="23" fillId="4" borderId="1" xfId="5" applyFont="1" applyFill="1" applyBorder="1" applyAlignment="1">
      <alignment horizontal="center" vertical="center"/>
    </xf>
    <xf numFmtId="0" fontId="23" fillId="5" borderId="18" xfId="5" applyFont="1" applyFill="1" applyBorder="1" applyAlignment="1">
      <alignment horizontal="center" vertical="center" wrapText="1"/>
    </xf>
    <xf numFmtId="0" fontId="23" fillId="5" borderId="1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3" fillId="0" borderId="18" xfId="5" applyFont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 wrapText="1"/>
    </xf>
    <xf numFmtId="0" fontId="22" fillId="2" borderId="1" xfId="4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justify" vertical="center"/>
    </xf>
    <xf numFmtId="0" fontId="0" fillId="4" borderId="1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left" vertical="center" wrapText="1"/>
    </xf>
    <xf numFmtId="0" fontId="23" fillId="2" borderId="18" xfId="5" applyFont="1" applyFill="1" applyBorder="1" applyAlignment="1">
      <alignment horizontal="center" vertical="center" wrapText="1"/>
    </xf>
    <xf numFmtId="0" fontId="23" fillId="4" borderId="17" xfId="5" applyFont="1" applyFill="1" applyBorder="1" applyAlignment="1">
      <alignment horizontal="center" vertical="center"/>
    </xf>
    <xf numFmtId="10" fontId="23" fillId="6" borderId="1" xfId="5" applyNumberFormat="1" applyFont="1" applyFill="1" applyBorder="1" applyAlignment="1">
      <alignment horizontal="center" vertical="center" wrapText="1"/>
    </xf>
    <xf numFmtId="4" fontId="23" fillId="2" borderId="17" xfId="0" applyNumberFormat="1" applyFont="1" applyFill="1" applyBorder="1" applyAlignment="1">
      <alignment horizontal="center" vertical="center"/>
    </xf>
    <xf numFmtId="165" fontId="22" fillId="2" borderId="17" xfId="5" applyNumberFormat="1" applyFont="1" applyFill="1" applyBorder="1" applyAlignment="1">
      <alignment horizontal="center" vertical="center"/>
    </xf>
    <xf numFmtId="165" fontId="22" fillId="11" borderId="1" xfId="0" applyNumberFormat="1" applyFont="1" applyFill="1" applyBorder="1" applyAlignment="1">
      <alignment horizontal="center" vertical="center"/>
    </xf>
    <xf numFmtId="165" fontId="22" fillId="11" borderId="17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2" xfId="0" applyFont="1" applyBorder="1" applyAlignment="1">
      <alignment horizontal="center" vertical="center" wrapText="1"/>
    </xf>
    <xf numFmtId="0" fontId="28" fillId="7" borderId="6" xfId="15" applyFont="1" applyFill="1" applyBorder="1" applyAlignment="1">
      <alignment horizontal="center" vertical="center"/>
    </xf>
    <xf numFmtId="0" fontId="28" fillId="7" borderId="4" xfId="15" applyFont="1" applyFill="1" applyBorder="1" applyAlignment="1">
      <alignment horizontal="center" vertical="center"/>
    </xf>
    <xf numFmtId="0" fontId="28" fillId="7" borderId="7" xfId="15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/>
    </xf>
    <xf numFmtId="0" fontId="23" fillId="7" borderId="4" xfId="0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 wrapText="1"/>
    </xf>
    <xf numFmtId="0" fontId="2" fillId="5" borderId="45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3" fillId="5" borderId="3" xfId="12" applyFont="1" applyFill="1" applyBorder="1" applyAlignment="1">
      <alignment horizontal="center" vertical="center" wrapText="1"/>
    </xf>
    <xf numFmtId="0" fontId="23" fillId="5" borderId="24" xfId="12" applyFont="1" applyFill="1" applyBorder="1" applyAlignment="1">
      <alignment horizontal="center" vertical="center" wrapText="1"/>
    </xf>
    <xf numFmtId="0" fontId="23" fillId="5" borderId="6" xfId="12" applyFont="1" applyFill="1" applyBorder="1" applyAlignment="1">
      <alignment horizontal="center" vertical="center" wrapText="1"/>
    </xf>
    <xf numFmtId="0" fontId="23" fillId="5" borderId="4" xfId="12" applyFont="1" applyFill="1" applyBorder="1" applyAlignment="1">
      <alignment horizontal="center" vertical="center" wrapText="1"/>
    </xf>
    <xf numFmtId="0" fontId="23" fillId="5" borderId="7" xfId="12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3" fillId="0" borderId="1" xfId="5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4" borderId="18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 wrapText="1"/>
    </xf>
    <xf numFmtId="0" fontId="23" fillId="6" borderId="18" xfId="5" applyFont="1" applyFill="1" applyBorder="1" applyAlignment="1">
      <alignment horizontal="center" vertical="center" wrapText="1"/>
    </xf>
    <xf numFmtId="0" fontId="23" fillId="6" borderId="1" xfId="5" applyFont="1" applyFill="1" applyBorder="1" applyAlignment="1">
      <alignment horizontal="center" vertical="center" wrapText="1"/>
    </xf>
    <xf numFmtId="0" fontId="22" fillId="2" borderId="1" xfId="5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4" borderId="18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0" fontId="23" fillId="5" borderId="30" xfId="5" applyFont="1" applyFill="1" applyBorder="1" applyAlignment="1">
      <alignment horizontal="center" vertical="center" wrapText="1"/>
    </xf>
    <xf numFmtId="0" fontId="23" fillId="5" borderId="8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5" borderId="18" xfId="5" applyFont="1" applyFill="1" applyBorder="1" applyAlignment="1">
      <alignment horizontal="center" vertical="center" wrapText="1"/>
    </xf>
    <xf numFmtId="0" fontId="23" fillId="5" borderId="1" xfId="5" applyFont="1" applyFill="1" applyBorder="1" applyAlignment="1">
      <alignment horizontal="center" vertical="center" wrapText="1"/>
    </xf>
    <xf numFmtId="0" fontId="23" fillId="3" borderId="18" xfId="5" applyFont="1" applyFill="1" applyBorder="1" applyAlignment="1">
      <alignment horizontal="center" vertical="center" wrapText="1"/>
    </xf>
    <xf numFmtId="0" fontId="23" fillId="3" borderId="1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3" fillId="0" borderId="18" xfId="5" applyFont="1" applyBorder="1" applyAlignment="1">
      <alignment horizontal="center" vertical="center" wrapText="1"/>
    </xf>
    <xf numFmtId="0" fontId="23" fillId="0" borderId="1" xfId="5" applyFont="1" applyBorder="1" applyAlignment="1">
      <alignment horizontal="center" vertical="center" wrapText="1"/>
    </xf>
    <xf numFmtId="0" fontId="23" fillId="8" borderId="18" xfId="5" applyFont="1" applyFill="1" applyBorder="1" applyAlignment="1">
      <alignment horizontal="center" vertical="center"/>
    </xf>
    <xf numFmtId="0" fontId="23" fillId="8" borderId="1" xfId="5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horizontal="center" vertical="center" wrapText="1"/>
    </xf>
    <xf numFmtId="0" fontId="23" fillId="2" borderId="17" xfId="5" applyFont="1" applyFill="1" applyBorder="1" applyAlignment="1">
      <alignment horizontal="center" vertical="center" wrapText="1"/>
    </xf>
    <xf numFmtId="0" fontId="23" fillId="4" borderId="18" xfId="3" applyFont="1" applyFill="1" applyBorder="1" applyAlignment="1">
      <alignment horizontal="center" vertical="center" wrapText="1"/>
    </xf>
    <xf numFmtId="0" fontId="23" fillId="4" borderId="1" xfId="3" applyFont="1" applyFill="1" applyBorder="1" applyAlignment="1">
      <alignment horizontal="center" vertical="center" wrapText="1"/>
    </xf>
    <xf numFmtId="0" fontId="23" fillId="4" borderId="17" xfId="3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left" vertical="center" wrapText="1"/>
    </xf>
    <xf numFmtId="0" fontId="22" fillId="2" borderId="1" xfId="4" applyFont="1" applyFill="1" applyBorder="1" applyAlignment="1">
      <alignment horizontal="center" vertical="center" wrapText="1"/>
    </xf>
    <xf numFmtId="0" fontId="22" fillId="2" borderId="17" xfId="4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/>
    </xf>
    <xf numFmtId="0" fontId="22" fillId="2" borderId="1" xfId="4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justify" vertical="center"/>
    </xf>
    <xf numFmtId="0" fontId="23" fillId="2" borderId="18" xfId="3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17" xfId="3" applyFont="1" applyFill="1" applyBorder="1" applyAlignment="1">
      <alignment horizontal="center" vertical="center"/>
    </xf>
    <xf numFmtId="0" fontId="23" fillId="0" borderId="1" xfId="5" applyFont="1" applyBorder="1" applyAlignment="1">
      <alignment horizontal="center" vertical="center"/>
    </xf>
    <xf numFmtId="0" fontId="23" fillId="2" borderId="18" xfId="5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horizontal="center" vertical="center"/>
    </xf>
    <xf numFmtId="0" fontId="2" fillId="4" borderId="1" xfId="5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3" fillId="4" borderId="1" xfId="5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left" vertical="center" wrapText="1"/>
    </xf>
    <xf numFmtId="0" fontId="33" fillId="2" borderId="18" xfId="5" applyFont="1" applyFill="1" applyBorder="1" applyAlignment="1">
      <alignment horizontal="center" vertical="center" wrapText="1"/>
    </xf>
    <xf numFmtId="0" fontId="33" fillId="2" borderId="1" xfId="5" applyFont="1" applyFill="1" applyBorder="1" applyAlignment="1">
      <alignment horizontal="center" vertical="center" wrapText="1"/>
    </xf>
    <xf numFmtId="0" fontId="33" fillId="2" borderId="17" xfId="5" applyFont="1" applyFill="1" applyBorder="1" applyAlignment="1">
      <alignment horizontal="center" vertical="center" wrapText="1"/>
    </xf>
    <xf numFmtId="0" fontId="23" fillId="2" borderId="18" xfId="5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23" fillId="6" borderId="29" xfId="0" applyFont="1" applyFill="1" applyBorder="1" applyAlignment="1">
      <alignment horizontal="center" vertical="center"/>
    </xf>
    <xf numFmtId="0" fontId="23" fillId="6" borderId="26" xfId="0" applyFont="1" applyFill="1" applyBorder="1" applyAlignment="1">
      <alignment horizontal="center" vertical="center"/>
    </xf>
    <xf numFmtId="0" fontId="23" fillId="6" borderId="28" xfId="0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23" fillId="2" borderId="17" xfId="3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0" fontId="22" fillId="2" borderId="17" xfId="3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top" wrapText="1"/>
    </xf>
    <xf numFmtId="0" fontId="22" fillId="2" borderId="17" xfId="3" applyFont="1" applyFill="1" applyBorder="1" applyAlignment="1">
      <alignment horizontal="center" vertical="top" wrapText="1"/>
    </xf>
    <xf numFmtId="4" fontId="23" fillId="2" borderId="1" xfId="5" applyNumberFormat="1" applyFont="1" applyFill="1" applyBorder="1" applyAlignment="1">
      <alignment horizontal="center" vertical="center" wrapText="1"/>
    </xf>
    <xf numFmtId="4" fontId="23" fillId="2" borderId="17" xfId="5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9" borderId="18" xfId="5" applyFont="1" applyFill="1" applyBorder="1" applyAlignment="1">
      <alignment horizontal="center" vertical="center" wrapText="1"/>
    </xf>
    <xf numFmtId="0" fontId="23" fillId="9" borderId="1" xfId="5" applyFont="1" applyFill="1" applyBorder="1" applyAlignment="1">
      <alignment horizontal="center" vertical="center" wrapText="1"/>
    </xf>
    <xf numFmtId="0" fontId="23" fillId="8" borderId="17" xfId="5" applyFont="1" applyFill="1" applyBorder="1" applyAlignment="1">
      <alignment horizontal="center" vertical="center"/>
    </xf>
    <xf numFmtId="0" fontId="23" fillId="4" borderId="17" xfId="5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4" borderId="17" xfId="5" applyFont="1" applyFill="1" applyBorder="1" applyAlignment="1">
      <alignment horizontal="center" vertical="center" wrapText="1"/>
    </xf>
    <xf numFmtId="0" fontId="23" fillId="2" borderId="17" xfId="5" applyFont="1" applyFill="1" applyBorder="1" applyAlignment="1">
      <alignment horizontal="center" vertical="center"/>
    </xf>
    <xf numFmtId="0" fontId="22" fillId="0" borderId="16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33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34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3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/>
    </xf>
    <xf numFmtId="0" fontId="2" fillId="7" borderId="16" xfId="0" applyFont="1" applyFill="1" applyBorder="1" applyAlignment="1">
      <alignment horizontal="center"/>
    </xf>
    <xf numFmtId="0" fontId="2" fillId="7" borderId="31" xfId="0" applyFont="1" applyFill="1" applyBorder="1" applyAlignment="1">
      <alignment horizontal="center"/>
    </xf>
    <xf numFmtId="0" fontId="2" fillId="7" borderId="15" xfId="0" applyFont="1" applyFill="1" applyBorder="1" applyAlignment="1">
      <alignment horizontal="center"/>
    </xf>
    <xf numFmtId="0" fontId="2" fillId="5" borderId="36" xfId="0" applyFont="1" applyFill="1" applyBorder="1" applyAlignment="1">
      <alignment horizontal="center"/>
    </xf>
    <xf numFmtId="0" fontId="2" fillId="5" borderId="42" xfId="0" applyFont="1" applyFill="1" applyBorder="1" applyAlignment="1">
      <alignment horizontal="center"/>
    </xf>
    <xf numFmtId="0" fontId="2" fillId="5" borderId="43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6" xfId="0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0" fontId="23" fillId="7" borderId="3" xfId="0" applyFont="1" applyFill="1" applyBorder="1" applyAlignment="1">
      <alignment horizontal="center" vertical="center"/>
    </xf>
    <xf numFmtId="0" fontId="23" fillId="7" borderId="24" xfId="0" applyFont="1" applyFill="1" applyBorder="1" applyAlignment="1">
      <alignment horizontal="center" vertical="center"/>
    </xf>
    <xf numFmtId="0" fontId="23" fillId="7" borderId="5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/>
    </xf>
    <xf numFmtId="0" fontId="23" fillId="5" borderId="24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/>
    </xf>
    <xf numFmtId="0" fontId="22" fillId="2" borderId="33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3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3" fillId="7" borderId="16" xfId="0" applyFont="1" applyFill="1" applyBorder="1" applyAlignment="1">
      <alignment horizontal="center" vertical="center" wrapText="1"/>
    </xf>
    <xf numFmtId="0" fontId="23" fillId="7" borderId="31" xfId="0" applyFont="1" applyFill="1" applyBorder="1" applyAlignment="1">
      <alignment horizontal="center" vertical="center" wrapText="1"/>
    </xf>
    <xf numFmtId="0" fontId="23" fillId="7" borderId="15" xfId="0" applyFont="1" applyFill="1" applyBorder="1" applyAlignment="1">
      <alignment horizontal="center" vertical="center" wrapText="1"/>
    </xf>
    <xf numFmtId="0" fontId="23" fillId="7" borderId="29" xfId="0" applyFont="1" applyFill="1" applyBorder="1" applyAlignment="1">
      <alignment horizontal="center" vertical="center" wrapText="1"/>
    </xf>
    <xf numFmtId="0" fontId="23" fillId="7" borderId="26" xfId="0" applyFont="1" applyFill="1" applyBorder="1" applyAlignment="1">
      <alignment horizontal="center" vertical="center" wrapText="1"/>
    </xf>
    <xf numFmtId="0" fontId="23" fillId="7" borderId="28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23" fillId="5" borderId="37" xfId="0" applyFont="1" applyFill="1" applyBorder="1" applyAlignment="1">
      <alignment horizontal="center" vertical="center" wrapText="1"/>
    </xf>
  </cellXfs>
  <cellStyles count="16">
    <cellStyle name="Estilo 1" xfId="8"/>
    <cellStyle name="Hiperlink" xfId="6" builtinId="8"/>
    <cellStyle name="Moeda" xfId="1" builtinId="4"/>
    <cellStyle name="Moeda 2" xfId="11"/>
    <cellStyle name="Moeda 2 2" xfId="14"/>
    <cellStyle name="Normal" xfId="0" builtinId="0"/>
    <cellStyle name="Normal 2" xfId="5"/>
    <cellStyle name="Normal 3" xfId="9"/>
    <cellStyle name="Normal 4" xfId="3"/>
    <cellStyle name="Normal 5" xfId="4"/>
    <cellStyle name="Normal 6" xfId="15"/>
    <cellStyle name="Normal 7" xfId="12"/>
    <cellStyle name="Porcentagem" xfId="2" builtinId="5"/>
    <cellStyle name="Vírgula" xfId="7" builtinId="3"/>
    <cellStyle name="Vírgula 2" xfId="10"/>
    <cellStyle name="Vírgula 2 2" xfId="13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50</v>
      </c>
    </row>
    <row r="2" spans="1:5" ht="21" x14ac:dyDescent="0.35">
      <c r="A2" s="280" t="s">
        <v>51</v>
      </c>
      <c r="B2" s="280"/>
      <c r="C2" s="280"/>
      <c r="E2" s="2" t="s">
        <v>52</v>
      </c>
    </row>
    <row r="3" spans="1:5" ht="174" customHeight="1" x14ac:dyDescent="0.3">
      <c r="A3" s="279" t="s">
        <v>53</v>
      </c>
      <c r="B3" s="279"/>
      <c r="C3" s="279"/>
      <c r="E3" s="4" t="s">
        <v>54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281" t="s">
        <v>55</v>
      </c>
      <c r="B5" s="282"/>
      <c r="C5" s="283"/>
      <c r="E5" s="7" t="s">
        <v>56</v>
      </c>
    </row>
    <row r="6" spans="1:5" ht="22.5" x14ac:dyDescent="0.25">
      <c r="A6" s="284" t="s">
        <v>57</v>
      </c>
      <c r="B6" s="284" t="s">
        <v>58</v>
      </c>
      <c r="C6" s="8" t="s">
        <v>59</v>
      </c>
      <c r="E6" s="7" t="s">
        <v>60</v>
      </c>
    </row>
    <row r="7" spans="1:5" ht="15.75" customHeight="1" thickBot="1" x14ac:dyDescent="0.3">
      <c r="A7" s="285"/>
      <c r="B7" s="285"/>
      <c r="C7" s="9" t="s">
        <v>61</v>
      </c>
      <c r="E7" s="7" t="s">
        <v>62</v>
      </c>
    </row>
    <row r="8" spans="1:5" ht="15.75" thickBot="1" x14ac:dyDescent="0.3">
      <c r="A8" s="10" t="s">
        <v>63</v>
      </c>
      <c r="B8" s="8">
        <v>30</v>
      </c>
      <c r="C8" s="8">
        <v>7</v>
      </c>
      <c r="D8">
        <f>(7/30)/12</f>
        <v>1.94444444444444E-2</v>
      </c>
      <c r="E8" s="11" t="s">
        <v>64</v>
      </c>
    </row>
    <row r="9" spans="1:5" ht="13.5" customHeight="1" x14ac:dyDescent="0.25">
      <c r="A9" s="12" t="s">
        <v>65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66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69</v>
      </c>
      <c r="B13" s="13">
        <v>45</v>
      </c>
      <c r="C13" s="13">
        <v>11</v>
      </c>
      <c r="D13">
        <f t="shared" si="0"/>
        <v>8.3333333333333297E-3</v>
      </c>
      <c r="E13" t="s">
        <v>91</v>
      </c>
    </row>
    <row r="14" spans="1:5" x14ac:dyDescent="0.25">
      <c r="A14" s="12" t="s">
        <v>70</v>
      </c>
      <c r="B14" s="13">
        <v>48</v>
      </c>
      <c r="C14" s="13">
        <v>11</v>
      </c>
      <c r="E14" t="s">
        <v>49</v>
      </c>
    </row>
    <row r="15" spans="1:5" x14ac:dyDescent="0.25">
      <c r="A15" s="12" t="s">
        <v>71</v>
      </c>
      <c r="B15" s="13">
        <v>51</v>
      </c>
      <c r="C15" s="13">
        <v>12</v>
      </c>
    </row>
    <row r="16" spans="1:5" x14ac:dyDescent="0.25">
      <c r="A16" s="12" t="s">
        <v>72</v>
      </c>
      <c r="B16" s="13">
        <v>54</v>
      </c>
      <c r="C16" s="13">
        <v>13</v>
      </c>
    </row>
    <row r="17" spans="1:5" x14ac:dyDescent="0.25">
      <c r="A17" s="12" t="s">
        <v>73</v>
      </c>
      <c r="B17" s="13">
        <v>57</v>
      </c>
      <c r="C17" s="13">
        <v>13</v>
      </c>
    </row>
    <row r="18" spans="1:5" x14ac:dyDescent="0.25">
      <c r="A18" s="12" t="s">
        <v>74</v>
      </c>
      <c r="B18" s="13">
        <v>60</v>
      </c>
      <c r="C18" s="13">
        <v>14</v>
      </c>
    </row>
    <row r="19" spans="1:5" x14ac:dyDescent="0.25">
      <c r="A19" s="12" t="s">
        <v>75</v>
      </c>
      <c r="B19" s="13">
        <v>63</v>
      </c>
      <c r="C19" s="13">
        <v>15</v>
      </c>
    </row>
    <row r="20" spans="1:5" x14ac:dyDescent="0.25">
      <c r="A20" s="12" t="s">
        <v>76</v>
      </c>
      <c r="B20" s="13">
        <v>66</v>
      </c>
      <c r="C20" s="13">
        <v>15</v>
      </c>
    </row>
    <row r="21" spans="1:5" x14ac:dyDescent="0.25">
      <c r="A21" s="12" t="s">
        <v>77</v>
      </c>
      <c r="B21" s="13">
        <v>69</v>
      </c>
      <c r="C21" s="13">
        <v>16</v>
      </c>
    </row>
    <row r="22" spans="1:5" x14ac:dyDescent="0.25">
      <c r="A22" s="12" t="s">
        <v>78</v>
      </c>
      <c r="B22" s="13">
        <v>72</v>
      </c>
      <c r="C22" s="13">
        <v>17</v>
      </c>
    </row>
    <row r="23" spans="1:5" x14ac:dyDescent="0.25">
      <c r="A23" s="12" t="s">
        <v>79</v>
      </c>
      <c r="B23" s="13">
        <v>75</v>
      </c>
      <c r="C23" s="13">
        <v>18</v>
      </c>
    </row>
    <row r="24" spans="1:5" x14ac:dyDescent="0.25">
      <c r="A24" s="12" t="s">
        <v>80</v>
      </c>
      <c r="B24" s="13">
        <v>78</v>
      </c>
      <c r="C24" s="13">
        <v>18</v>
      </c>
    </row>
    <row r="25" spans="1:5" x14ac:dyDescent="0.25">
      <c r="A25" s="12" t="s">
        <v>81</v>
      </c>
      <c r="B25" s="13">
        <v>81</v>
      </c>
      <c r="C25" s="13">
        <v>19</v>
      </c>
    </row>
    <row r="26" spans="1:5" x14ac:dyDescent="0.25">
      <c r="A26" s="12" t="s">
        <v>82</v>
      </c>
      <c r="B26" s="13">
        <v>84</v>
      </c>
      <c r="C26" s="13">
        <v>20</v>
      </c>
    </row>
    <row r="27" spans="1:5" x14ac:dyDescent="0.25">
      <c r="A27" s="12" t="s">
        <v>83</v>
      </c>
      <c r="B27" s="13">
        <v>87</v>
      </c>
      <c r="C27" s="13">
        <v>20</v>
      </c>
    </row>
    <row r="28" spans="1:5" ht="15.75" thickBot="1" x14ac:dyDescent="0.3">
      <c r="A28" s="16" t="s">
        <v>84</v>
      </c>
      <c r="B28" s="9">
        <v>90</v>
      </c>
      <c r="C28" s="9">
        <v>21</v>
      </c>
      <c r="E28" s="17" t="s">
        <v>85</v>
      </c>
    </row>
    <row r="29" spans="1:5" ht="18.75" x14ac:dyDescent="0.3">
      <c r="A29" s="5"/>
    </row>
    <row r="30" spans="1:5" ht="145.5" customHeight="1" x14ac:dyDescent="0.3">
      <c r="A30" s="286" t="s">
        <v>86</v>
      </c>
      <c r="B30" s="286"/>
      <c r="C30" s="286"/>
    </row>
    <row r="31" spans="1:5" ht="18.75" x14ac:dyDescent="0.3">
      <c r="A31" s="5"/>
    </row>
    <row r="32" spans="1:5" ht="18.75" x14ac:dyDescent="0.3">
      <c r="A32" s="18" t="s">
        <v>87</v>
      </c>
    </row>
    <row r="33" spans="1:3" ht="18.75" x14ac:dyDescent="0.3">
      <c r="A33" s="5"/>
    </row>
    <row r="34" spans="1:3" x14ac:dyDescent="0.25">
      <c r="A34" s="279" t="s">
        <v>88</v>
      </c>
      <c r="B34" s="279"/>
      <c r="C34" s="279"/>
    </row>
    <row r="35" spans="1:3" x14ac:dyDescent="0.25">
      <c r="A35" s="279"/>
      <c r="B35" s="279"/>
      <c r="C35" s="279"/>
    </row>
    <row r="36" spans="1:3" x14ac:dyDescent="0.25">
      <c r="A36" s="279" t="s">
        <v>89</v>
      </c>
      <c r="B36" s="279"/>
      <c r="C36" s="279"/>
    </row>
    <row r="37" spans="1:3" x14ac:dyDescent="0.25">
      <c r="A37" s="279"/>
      <c r="B37" s="279"/>
      <c r="C37" s="279"/>
    </row>
    <row r="40" spans="1:3" x14ac:dyDescent="0.25">
      <c r="A40" s="19" t="s">
        <v>90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view="pageBreakPreview" topLeftCell="A35" zoomScaleNormal="115" zoomScaleSheetLayoutView="100" workbookViewId="0">
      <selection activeCell="F6" sqref="F6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61"/>
      <c r="B1" s="362"/>
      <c r="C1" s="362"/>
      <c r="D1" s="362"/>
      <c r="E1" s="363"/>
    </row>
    <row r="2" spans="1:5" s="38" customFormat="1" ht="16.5" customHeight="1" x14ac:dyDescent="0.25">
      <c r="A2" s="333" t="s">
        <v>127</v>
      </c>
      <c r="B2" s="334"/>
      <c r="C2" s="334"/>
      <c r="D2" s="334"/>
      <c r="E2" s="335"/>
    </row>
    <row r="3" spans="1:5" s="38" customFormat="1" ht="15.75" customHeight="1" x14ac:dyDescent="0.25">
      <c r="A3" s="83" t="s">
        <v>0</v>
      </c>
      <c r="B3" s="145" t="s">
        <v>1</v>
      </c>
      <c r="C3" s="364">
        <v>2025</v>
      </c>
      <c r="D3" s="364"/>
      <c r="E3" s="365"/>
    </row>
    <row r="4" spans="1:5" s="38" customFormat="1" ht="90" customHeight="1" x14ac:dyDescent="0.25">
      <c r="A4" s="83" t="s">
        <v>2</v>
      </c>
      <c r="B4" s="145" t="s">
        <v>135</v>
      </c>
      <c r="C4" s="366" t="s">
        <v>248</v>
      </c>
      <c r="D4" s="366"/>
      <c r="E4" s="367"/>
    </row>
    <row r="5" spans="1:5" s="38" customFormat="1" ht="15.75" customHeight="1" x14ac:dyDescent="0.25">
      <c r="A5" s="83" t="s">
        <v>3</v>
      </c>
      <c r="B5" s="145" t="s">
        <v>4</v>
      </c>
      <c r="C5" s="366"/>
      <c r="D5" s="366"/>
      <c r="E5" s="367"/>
    </row>
    <row r="6" spans="1:5" s="38" customFormat="1" x14ac:dyDescent="0.25">
      <c r="A6" s="83" t="s">
        <v>5</v>
      </c>
      <c r="B6" s="145" t="s">
        <v>299</v>
      </c>
      <c r="C6" s="366">
        <v>12</v>
      </c>
      <c r="D6" s="366"/>
      <c r="E6" s="367"/>
    </row>
    <row r="7" spans="1:5" s="38" customFormat="1" x14ac:dyDescent="0.25">
      <c r="A7" s="344" t="s">
        <v>6</v>
      </c>
      <c r="B7" s="345"/>
      <c r="C7" s="345"/>
      <c r="D7" s="345"/>
      <c r="E7" s="346"/>
    </row>
    <row r="8" spans="1:5" s="38" customFormat="1" x14ac:dyDescent="0.25">
      <c r="A8" s="344" t="s">
        <v>7</v>
      </c>
      <c r="B8" s="345"/>
      <c r="C8" s="345"/>
      <c r="D8" s="345"/>
      <c r="E8" s="346"/>
    </row>
    <row r="9" spans="1:5" s="38" customFormat="1" ht="15.75" customHeight="1" x14ac:dyDescent="0.25">
      <c r="A9" s="344" t="s">
        <v>8</v>
      </c>
      <c r="B9" s="345"/>
      <c r="C9" s="345"/>
      <c r="D9" s="345"/>
      <c r="E9" s="346"/>
    </row>
    <row r="10" spans="1:5" s="38" customFormat="1" ht="30" customHeight="1" x14ac:dyDescent="0.25">
      <c r="A10" s="358" t="s">
        <v>9</v>
      </c>
      <c r="B10" s="331"/>
      <c r="C10" s="331"/>
      <c r="D10" s="370" t="s">
        <v>10</v>
      </c>
      <c r="E10" s="371"/>
    </row>
    <row r="11" spans="1:5" s="38" customFormat="1" ht="75" customHeight="1" x14ac:dyDescent="0.25">
      <c r="A11" s="83">
        <v>1</v>
      </c>
      <c r="B11" s="268" t="s">
        <v>128</v>
      </c>
      <c r="C11" s="337" t="s">
        <v>249</v>
      </c>
      <c r="D11" s="337"/>
      <c r="E11" s="338"/>
    </row>
    <row r="12" spans="1:5" s="38" customFormat="1" ht="30" customHeight="1" x14ac:dyDescent="0.25">
      <c r="A12" s="83">
        <v>2</v>
      </c>
      <c r="B12" s="268" t="s">
        <v>11</v>
      </c>
      <c r="C12" s="393">
        <f>(13581.68+(13581.68*10.18%)+(14964.25*8.9%)+(16296.07*6.97%)+(17431.95*7.5%))</f>
        <v>18739.349999999999</v>
      </c>
      <c r="D12" s="393"/>
      <c r="E12" s="394"/>
    </row>
    <row r="13" spans="1:5" s="38" customFormat="1" ht="15.75" customHeight="1" x14ac:dyDescent="0.25">
      <c r="A13" s="83">
        <v>3</v>
      </c>
      <c r="B13" s="268" t="s">
        <v>12</v>
      </c>
      <c r="C13" s="337" t="s">
        <v>257</v>
      </c>
      <c r="D13" s="337"/>
      <c r="E13" s="338"/>
    </row>
    <row r="14" spans="1:5" s="38" customFormat="1" x14ac:dyDescent="0.25">
      <c r="A14" s="83">
        <v>4</v>
      </c>
      <c r="B14" s="269" t="s">
        <v>13</v>
      </c>
      <c r="C14" s="340">
        <v>2025</v>
      </c>
      <c r="D14" s="340"/>
      <c r="E14" s="341"/>
    </row>
    <row r="15" spans="1:5" s="39" customFormat="1" ht="30" x14ac:dyDescent="0.25">
      <c r="A15" s="329" t="s">
        <v>14</v>
      </c>
      <c r="B15" s="330"/>
      <c r="C15" s="330"/>
      <c r="D15" s="146" t="s">
        <v>252</v>
      </c>
      <c r="E15" s="148" t="s">
        <v>254</v>
      </c>
    </row>
    <row r="16" spans="1:5" s="39" customFormat="1" x14ac:dyDescent="0.25">
      <c r="A16" s="272">
        <v>1</v>
      </c>
      <c r="B16" s="336" t="s">
        <v>15</v>
      </c>
      <c r="C16" s="336"/>
      <c r="D16" s="149" t="s">
        <v>10</v>
      </c>
      <c r="E16" s="150" t="s">
        <v>10</v>
      </c>
    </row>
    <row r="17" spans="1:5" s="38" customFormat="1" ht="15.75" customHeight="1" x14ac:dyDescent="0.25">
      <c r="A17" s="151" t="s">
        <v>0</v>
      </c>
      <c r="B17" s="152" t="s">
        <v>16</v>
      </c>
      <c r="C17" s="269"/>
      <c r="D17" s="112">
        <f>C12</f>
        <v>18739.349999999999</v>
      </c>
      <c r="E17" s="196">
        <f>C12</f>
        <v>18739.349999999999</v>
      </c>
    </row>
    <row r="18" spans="1:5" s="38" customFormat="1" ht="15.75" customHeight="1" x14ac:dyDescent="0.25">
      <c r="A18" s="151" t="s">
        <v>2</v>
      </c>
      <c r="B18" s="152" t="s">
        <v>17</v>
      </c>
      <c r="C18" s="155"/>
      <c r="D18" s="192"/>
      <c r="E18" s="232"/>
    </row>
    <row r="19" spans="1:5" s="38" customFormat="1" ht="15.75" customHeight="1" x14ac:dyDescent="0.25">
      <c r="A19" s="151" t="s">
        <v>3</v>
      </c>
      <c r="B19" s="152" t="s">
        <v>18</v>
      </c>
      <c r="C19" s="158">
        <v>1518</v>
      </c>
      <c r="D19" s="192">
        <f>40%*C19</f>
        <v>607.20000000000005</v>
      </c>
      <c r="E19" s="232">
        <f>40%*C19</f>
        <v>607.20000000000005</v>
      </c>
    </row>
    <row r="20" spans="1:5" s="38" customFormat="1" ht="15.75" customHeight="1" x14ac:dyDescent="0.25">
      <c r="A20" s="151" t="s">
        <v>5</v>
      </c>
      <c r="B20" s="152" t="s">
        <v>19</v>
      </c>
      <c r="C20" s="155"/>
      <c r="D20" s="192"/>
      <c r="E20" s="232"/>
    </row>
    <row r="21" spans="1:5" s="38" customFormat="1" ht="15.75" customHeight="1" x14ac:dyDescent="0.25">
      <c r="A21" s="151" t="s">
        <v>20</v>
      </c>
      <c r="B21" s="152" t="s">
        <v>196</v>
      </c>
      <c r="C21" s="155"/>
      <c r="D21" s="192"/>
      <c r="E21" s="232"/>
    </row>
    <row r="22" spans="1:5" s="38" customFormat="1" x14ac:dyDescent="0.25">
      <c r="A22" s="151" t="s">
        <v>21</v>
      </c>
      <c r="B22" s="152" t="s">
        <v>133</v>
      </c>
      <c r="C22" s="161"/>
      <c r="D22" s="192"/>
      <c r="E22" s="232"/>
    </row>
    <row r="23" spans="1:5" s="38" customFormat="1" ht="15.75" customHeight="1" x14ac:dyDescent="0.25">
      <c r="A23" s="151" t="s">
        <v>22</v>
      </c>
      <c r="B23" s="164" t="s">
        <v>134</v>
      </c>
      <c r="C23" s="161"/>
      <c r="D23" s="192"/>
      <c r="E23" s="232"/>
    </row>
    <row r="24" spans="1:5" s="39" customFormat="1" ht="15.75" customHeight="1" x14ac:dyDescent="0.25">
      <c r="A24" s="313" t="s">
        <v>145</v>
      </c>
      <c r="B24" s="314"/>
      <c r="C24" s="314"/>
      <c r="D24" s="216">
        <f>SUM(D17:D23)</f>
        <v>19346.55</v>
      </c>
      <c r="E24" s="217">
        <f>SUM(E17:E23)</f>
        <v>19346.55</v>
      </c>
    </row>
    <row r="25" spans="1:5" s="39" customFormat="1" x14ac:dyDescent="0.25">
      <c r="A25" s="317" t="s">
        <v>48</v>
      </c>
      <c r="B25" s="318"/>
      <c r="C25" s="318"/>
      <c r="D25" s="262"/>
      <c r="E25" s="251"/>
    </row>
    <row r="26" spans="1:5" s="38" customFormat="1" x14ac:dyDescent="0.25">
      <c r="A26" s="266">
        <v>2</v>
      </c>
      <c r="B26" s="309" t="s">
        <v>197</v>
      </c>
      <c r="C26" s="316"/>
      <c r="D26" s="169" t="s">
        <v>10</v>
      </c>
      <c r="E26" s="170" t="s">
        <v>10</v>
      </c>
    </row>
    <row r="27" spans="1:5" s="38" customFormat="1" x14ac:dyDescent="0.25">
      <c r="A27" s="171" t="s">
        <v>0</v>
      </c>
      <c r="B27" s="172" t="s">
        <v>28</v>
      </c>
      <c r="C27" s="173">
        <f>1/12</f>
        <v>8.3299999999999999E-2</v>
      </c>
      <c r="D27" s="214">
        <f>(D24)*C27</f>
        <v>1611.57</v>
      </c>
      <c r="E27" s="215">
        <f>(E24)*C27</f>
        <v>1611.57</v>
      </c>
    </row>
    <row r="28" spans="1:5" s="38" customFormat="1" x14ac:dyDescent="0.25">
      <c r="A28" s="171" t="s">
        <v>2</v>
      </c>
      <c r="B28" s="172" t="s">
        <v>141</v>
      </c>
      <c r="C28" s="173">
        <v>0.1111</v>
      </c>
      <c r="D28" s="214">
        <f>(D24)*C28</f>
        <v>2149.4</v>
      </c>
      <c r="E28" s="215">
        <f>(E24)*C28</f>
        <v>2149.4</v>
      </c>
    </row>
    <row r="29" spans="1:5" x14ac:dyDescent="0.25">
      <c r="A29" s="322" t="s">
        <v>27</v>
      </c>
      <c r="B29" s="323"/>
      <c r="C29" s="176">
        <f>SUM(C27:C28)</f>
        <v>0.19439999999999999</v>
      </c>
      <c r="D29" s="71">
        <f>SUM(D27:D28)</f>
        <v>3760.97</v>
      </c>
      <c r="E29" s="72">
        <f>SUM(E27:E28)</f>
        <v>3760.97</v>
      </c>
    </row>
    <row r="30" spans="1:5" ht="32.25" customHeight="1" x14ac:dyDescent="0.25">
      <c r="A30" s="355" t="s">
        <v>198</v>
      </c>
      <c r="B30" s="356"/>
      <c r="C30" s="356"/>
      <c r="D30" s="356"/>
      <c r="E30" s="357"/>
    </row>
    <row r="31" spans="1:5" x14ac:dyDescent="0.25">
      <c r="A31" s="260" t="s">
        <v>201</v>
      </c>
      <c r="B31" s="353" t="s">
        <v>25</v>
      </c>
      <c r="C31" s="354"/>
      <c r="D31" s="218" t="s">
        <v>10</v>
      </c>
      <c r="E31" s="219" t="s">
        <v>10</v>
      </c>
    </row>
    <row r="32" spans="1:5" x14ac:dyDescent="0.25">
      <c r="A32" s="171" t="s">
        <v>0</v>
      </c>
      <c r="B32" s="180" t="s">
        <v>300</v>
      </c>
      <c r="C32" s="173">
        <v>0.2</v>
      </c>
      <c r="D32" s="214">
        <f>(D24+D29)*C32</f>
        <v>4621.5</v>
      </c>
      <c r="E32" s="215">
        <f>(E24+E29)*C32</f>
        <v>4621.5</v>
      </c>
    </row>
    <row r="33" spans="1:5" x14ac:dyDescent="0.25">
      <c r="A33" s="171" t="s">
        <v>2</v>
      </c>
      <c r="B33" s="180" t="s">
        <v>301</v>
      </c>
      <c r="C33" s="181">
        <v>2.5000000000000001E-2</v>
      </c>
      <c r="D33" s="214">
        <f>(D24+D29)*C33</f>
        <v>577.69000000000005</v>
      </c>
      <c r="E33" s="215">
        <f>(E24+E29)*C33</f>
        <v>577.69000000000005</v>
      </c>
    </row>
    <row r="34" spans="1:5" ht="45" x14ac:dyDescent="0.25">
      <c r="A34" s="171" t="s">
        <v>3</v>
      </c>
      <c r="B34" s="259" t="s">
        <v>302</v>
      </c>
      <c r="C34" s="181">
        <v>0.03</v>
      </c>
      <c r="D34" s="214">
        <f>(D24+D29)*C34</f>
        <v>693.23</v>
      </c>
      <c r="E34" s="215">
        <f>(E24+E29)*C34</f>
        <v>693.23</v>
      </c>
    </row>
    <row r="35" spans="1:5" x14ac:dyDescent="0.25">
      <c r="A35" s="171" t="s">
        <v>5</v>
      </c>
      <c r="B35" s="180" t="s">
        <v>303</v>
      </c>
      <c r="C35" s="181">
        <v>1.4999999999999999E-2</v>
      </c>
      <c r="D35" s="214">
        <f>(D24+D29)*C35</f>
        <v>346.61</v>
      </c>
      <c r="E35" s="215">
        <f>(E24+E29)*C35</f>
        <v>346.61</v>
      </c>
    </row>
    <row r="36" spans="1:5" x14ac:dyDescent="0.25">
      <c r="A36" s="171" t="s">
        <v>20</v>
      </c>
      <c r="B36" s="180" t="s">
        <v>304</v>
      </c>
      <c r="C36" s="181">
        <v>0.01</v>
      </c>
      <c r="D36" s="214">
        <f>(D24+D29)*C36</f>
        <v>231.08</v>
      </c>
      <c r="E36" s="215">
        <f>(E24+E29)*C36</f>
        <v>231.08</v>
      </c>
    </row>
    <row r="37" spans="1:5" x14ac:dyDescent="0.25">
      <c r="A37" s="171" t="s">
        <v>21</v>
      </c>
      <c r="B37" s="182" t="s">
        <v>200</v>
      </c>
      <c r="C37" s="181">
        <v>6.0000000000000001E-3</v>
      </c>
      <c r="D37" s="214">
        <f>(D24+D29)*C37</f>
        <v>138.65</v>
      </c>
      <c r="E37" s="215">
        <f>(E24+E29)*C37</f>
        <v>138.65</v>
      </c>
    </row>
    <row r="38" spans="1:5" ht="30.75" customHeight="1" x14ac:dyDescent="0.25">
      <c r="A38" s="171" t="s">
        <v>22</v>
      </c>
      <c r="B38" s="259" t="s">
        <v>305</v>
      </c>
      <c r="C38" s="181">
        <v>2E-3</v>
      </c>
      <c r="D38" s="214">
        <f>(D24+D29)*C38</f>
        <v>46.22</v>
      </c>
      <c r="E38" s="215">
        <f>(E24+E29)*C38</f>
        <v>46.22</v>
      </c>
    </row>
    <row r="39" spans="1:5" x14ac:dyDescent="0.25">
      <c r="A39" s="171" t="s">
        <v>26</v>
      </c>
      <c r="B39" s="183" t="s">
        <v>199</v>
      </c>
      <c r="C39" s="181">
        <v>0.08</v>
      </c>
      <c r="D39" s="214">
        <f>(D24+D29)*C39</f>
        <v>1848.6</v>
      </c>
      <c r="E39" s="215">
        <f>(E24+E29)*C39</f>
        <v>1848.6</v>
      </c>
    </row>
    <row r="40" spans="1:5" s="30" customFormat="1" x14ac:dyDescent="0.25">
      <c r="A40" s="322" t="s">
        <v>27</v>
      </c>
      <c r="B40" s="323"/>
      <c r="C40" s="184">
        <f>SUM(C32:C39)</f>
        <v>0.36799999999999999</v>
      </c>
      <c r="D40" s="71">
        <f>SUM(D32:D39)</f>
        <v>8503.58</v>
      </c>
      <c r="E40" s="72">
        <f>SUM(E32:E39)</f>
        <v>8503.58</v>
      </c>
    </row>
    <row r="41" spans="1:5" s="30" customFormat="1" x14ac:dyDescent="0.25">
      <c r="A41" s="187" t="s">
        <v>202</v>
      </c>
      <c r="B41" s="350" t="s">
        <v>203</v>
      </c>
      <c r="C41" s="351"/>
      <c r="D41" s="235" t="s">
        <v>10</v>
      </c>
      <c r="E41" s="188" t="s">
        <v>10</v>
      </c>
    </row>
    <row r="42" spans="1:5" s="30" customFormat="1" x14ac:dyDescent="0.25">
      <c r="A42" s="189" t="s">
        <v>0</v>
      </c>
      <c r="B42" s="190" t="s">
        <v>137</v>
      </c>
      <c r="C42" s="191"/>
      <c r="D42" s="192">
        <v>0</v>
      </c>
      <c r="E42" s="232">
        <v>0</v>
      </c>
    </row>
    <row r="43" spans="1:5" s="30" customFormat="1" x14ac:dyDescent="0.25">
      <c r="A43" s="195" t="s">
        <v>2</v>
      </c>
      <c r="B43" s="164" t="s">
        <v>204</v>
      </c>
      <c r="C43" s="159"/>
      <c r="D43" s="112">
        <f>C43-(C43*0.99%)</f>
        <v>0</v>
      </c>
      <c r="E43" s="196">
        <f>C43-(C43*0.99%)</f>
        <v>0</v>
      </c>
    </row>
    <row r="44" spans="1:5" s="30" customFormat="1" x14ac:dyDescent="0.25">
      <c r="A44" s="171" t="s">
        <v>5</v>
      </c>
      <c r="B44" s="172" t="s">
        <v>129</v>
      </c>
      <c r="C44" s="197"/>
      <c r="D44" s="198">
        <v>0</v>
      </c>
      <c r="E44" s="199">
        <v>0</v>
      </c>
    </row>
    <row r="45" spans="1:5" s="30" customFormat="1" x14ac:dyDescent="0.25">
      <c r="A45" s="171" t="s">
        <v>20</v>
      </c>
      <c r="B45" s="172" t="s">
        <v>130</v>
      </c>
      <c r="C45" s="173"/>
      <c r="D45" s="198">
        <f>D17*C45*0.0199*2/12</f>
        <v>0</v>
      </c>
      <c r="E45" s="199">
        <f>E17*C45*0.0199*2/12</f>
        <v>0</v>
      </c>
    </row>
    <row r="46" spans="1:5" s="30" customFormat="1" x14ac:dyDescent="0.25">
      <c r="A46" s="171" t="s">
        <v>21</v>
      </c>
      <c r="B46" s="172" t="s">
        <v>131</v>
      </c>
      <c r="C46" s="197"/>
      <c r="D46" s="214">
        <v>0</v>
      </c>
      <c r="E46" s="215">
        <v>0</v>
      </c>
    </row>
    <row r="47" spans="1:5" s="30" customFormat="1" ht="15.75" customHeight="1" x14ac:dyDescent="0.25">
      <c r="A47" s="322" t="s">
        <v>23</v>
      </c>
      <c r="B47" s="323"/>
      <c r="C47" s="323"/>
      <c r="D47" s="71">
        <f>SUM(D42:D46)</f>
        <v>0</v>
      </c>
      <c r="E47" s="72">
        <f>SUM(E42:E46)</f>
        <v>0</v>
      </c>
    </row>
    <row r="48" spans="1:5" s="30" customFormat="1" ht="15.75" customHeight="1" x14ac:dyDescent="0.25">
      <c r="A48" s="317" t="s">
        <v>144</v>
      </c>
      <c r="B48" s="318"/>
      <c r="C48" s="318"/>
      <c r="D48" s="318"/>
      <c r="E48" s="377"/>
    </row>
    <row r="49" spans="1:5" s="30" customFormat="1" ht="15.75" customHeight="1" x14ac:dyDescent="0.25">
      <c r="A49" s="272" t="s">
        <v>136</v>
      </c>
      <c r="B49" s="203" t="s">
        <v>138</v>
      </c>
      <c r="C49" s="267"/>
      <c r="D49" s="153">
        <f>D29</f>
        <v>3760.97</v>
      </c>
      <c r="E49" s="154">
        <f>E29</f>
        <v>3760.97</v>
      </c>
    </row>
    <row r="50" spans="1:5" s="30" customFormat="1" ht="15.75" customHeight="1" x14ac:dyDescent="0.25">
      <c r="A50" s="272" t="s">
        <v>201</v>
      </c>
      <c r="B50" s="203" t="s">
        <v>139</v>
      </c>
      <c r="C50" s="267"/>
      <c r="D50" s="153">
        <f>D40</f>
        <v>8503.58</v>
      </c>
      <c r="E50" s="154">
        <f>E40</f>
        <v>8503.58</v>
      </c>
    </row>
    <row r="51" spans="1:5" s="30" customFormat="1" ht="15.75" customHeight="1" x14ac:dyDescent="0.25">
      <c r="A51" s="272" t="s">
        <v>202</v>
      </c>
      <c r="B51" s="203" t="s">
        <v>140</v>
      </c>
      <c r="C51" s="267"/>
      <c r="D51" s="153">
        <f>D47</f>
        <v>0</v>
      </c>
      <c r="E51" s="154">
        <f>E47</f>
        <v>0</v>
      </c>
    </row>
    <row r="52" spans="1:5" s="30" customFormat="1" ht="15.75" customHeight="1" x14ac:dyDescent="0.25">
      <c r="A52" s="313" t="s">
        <v>146</v>
      </c>
      <c r="B52" s="314"/>
      <c r="C52" s="314"/>
      <c r="D52" s="216">
        <f>SUM(D49:D51)</f>
        <v>12264.55</v>
      </c>
      <c r="E52" s="217">
        <f>SUM(E49:E51)</f>
        <v>12264.55</v>
      </c>
    </row>
    <row r="53" spans="1:5" s="30" customFormat="1" ht="15.75" customHeight="1" x14ac:dyDescent="0.25">
      <c r="A53" s="317" t="s">
        <v>155</v>
      </c>
      <c r="B53" s="318"/>
      <c r="C53" s="318"/>
      <c r="D53" s="318"/>
      <c r="E53" s="377"/>
    </row>
    <row r="54" spans="1:5" s="30" customFormat="1" ht="15.75" customHeight="1" x14ac:dyDescent="0.25">
      <c r="A54" s="266" t="s">
        <v>192</v>
      </c>
      <c r="B54" s="309" t="s">
        <v>32</v>
      </c>
      <c r="C54" s="310"/>
      <c r="D54" s="169" t="s">
        <v>10</v>
      </c>
      <c r="E54" s="170" t="s">
        <v>10</v>
      </c>
    </row>
    <row r="55" spans="1:5" s="30" customFormat="1" ht="15.75" customHeight="1" x14ac:dyDescent="0.25">
      <c r="A55" s="171" t="s">
        <v>0</v>
      </c>
      <c r="B55" s="172" t="s">
        <v>33</v>
      </c>
      <c r="C55" s="173">
        <v>4.5999999999999999E-3</v>
      </c>
      <c r="D55" s="214">
        <f>D$24*C55</f>
        <v>88.99</v>
      </c>
      <c r="E55" s="215">
        <f>E$24*C55</f>
        <v>88.99</v>
      </c>
    </row>
    <row r="56" spans="1:5" s="30" customFormat="1" ht="15.75" customHeight="1" x14ac:dyDescent="0.25">
      <c r="A56" s="171" t="s">
        <v>2</v>
      </c>
      <c r="B56" s="172" t="s">
        <v>34</v>
      </c>
      <c r="C56" s="173">
        <v>4.0000000000000002E-4</v>
      </c>
      <c r="D56" s="214">
        <f>D$24*C56</f>
        <v>7.74</v>
      </c>
      <c r="E56" s="215">
        <f>E$24*C56</f>
        <v>7.74</v>
      </c>
    </row>
    <row r="57" spans="1:5" s="30" customFormat="1" ht="15.75" customHeight="1" x14ac:dyDescent="0.25">
      <c r="A57" s="171" t="s">
        <v>3</v>
      </c>
      <c r="B57" s="172" t="s">
        <v>35</v>
      </c>
      <c r="C57" s="173">
        <v>1.9400000000000001E-2</v>
      </c>
      <c r="D57" s="214">
        <f>D$24*C57</f>
        <v>375.32</v>
      </c>
      <c r="E57" s="215">
        <f>E$24*C57</f>
        <v>375.32</v>
      </c>
    </row>
    <row r="58" spans="1:5" s="30" customFormat="1" ht="30" customHeight="1" x14ac:dyDescent="0.25">
      <c r="A58" s="171" t="s">
        <v>5</v>
      </c>
      <c r="B58" s="204" t="s">
        <v>309</v>
      </c>
      <c r="C58" s="173">
        <v>7.7000000000000002E-3</v>
      </c>
      <c r="D58" s="214">
        <f>D$24*C58</f>
        <v>148.97</v>
      </c>
      <c r="E58" s="215">
        <f>E$24*C58</f>
        <v>148.97</v>
      </c>
    </row>
    <row r="59" spans="1:5" s="30" customFormat="1" ht="32.25" customHeight="1" x14ac:dyDescent="0.25">
      <c r="A59" s="171" t="s">
        <v>20</v>
      </c>
      <c r="B59" s="172" t="s">
        <v>205</v>
      </c>
      <c r="C59" s="173">
        <v>0.04</v>
      </c>
      <c r="D59" s="214">
        <f>D$24*C59</f>
        <v>773.86</v>
      </c>
      <c r="E59" s="215">
        <f>E$24*C59</f>
        <v>773.86</v>
      </c>
    </row>
    <row r="60" spans="1:5" s="30" customFormat="1" ht="15.75" customHeight="1" x14ac:dyDescent="0.25">
      <c r="A60" s="313" t="s">
        <v>147</v>
      </c>
      <c r="B60" s="314"/>
      <c r="C60" s="274">
        <f>SUM(C55:C59)</f>
        <v>7.2099999999999997E-2</v>
      </c>
      <c r="D60" s="216">
        <f>SUM(D55:D59)</f>
        <v>1394.88</v>
      </c>
      <c r="E60" s="217">
        <f>SUM(E55:E59)</f>
        <v>1394.88</v>
      </c>
    </row>
    <row r="61" spans="1:5" s="30" customFormat="1" x14ac:dyDescent="0.25">
      <c r="A61" s="317" t="s">
        <v>156</v>
      </c>
      <c r="B61" s="318"/>
      <c r="C61" s="318"/>
      <c r="D61" s="318"/>
      <c r="E61" s="377"/>
    </row>
    <row r="62" spans="1:5" s="30" customFormat="1" x14ac:dyDescent="0.25">
      <c r="A62" s="266" t="s">
        <v>191</v>
      </c>
      <c r="B62" s="347" t="s">
        <v>36</v>
      </c>
      <c r="C62" s="347"/>
      <c r="D62" s="169" t="s">
        <v>10</v>
      </c>
      <c r="E62" s="170" t="s">
        <v>10</v>
      </c>
    </row>
    <row r="63" spans="1:5" s="30" customFormat="1" x14ac:dyDescent="0.25">
      <c r="A63" s="171" t="s">
        <v>0</v>
      </c>
      <c r="B63" s="172" t="s">
        <v>184</v>
      </c>
      <c r="C63" s="173">
        <f>C28/12</f>
        <v>9.2999999999999992E-3</v>
      </c>
      <c r="D63" s="214">
        <f t="shared" ref="D63:D69" si="0">(D$24+D$52+D$60+D$84)*C63</f>
        <v>307.27</v>
      </c>
      <c r="E63" s="215">
        <f t="shared" ref="E63:E69" si="1">(E$24+E$52+E$60+E$84)*C63</f>
        <v>307.27</v>
      </c>
    </row>
    <row r="64" spans="1:5" s="30" customFormat="1" x14ac:dyDescent="0.25">
      <c r="A64" s="171" t="s">
        <v>2</v>
      </c>
      <c r="B64" s="172" t="s">
        <v>185</v>
      </c>
      <c r="C64" s="173">
        <v>1.3899999999999999E-2</v>
      </c>
      <c r="D64" s="214">
        <f t="shared" si="0"/>
        <v>459.25</v>
      </c>
      <c r="E64" s="215">
        <f t="shared" si="1"/>
        <v>459.25</v>
      </c>
    </row>
    <row r="65" spans="1:5" s="30" customFormat="1" x14ac:dyDescent="0.25">
      <c r="A65" s="171" t="s">
        <v>3</v>
      </c>
      <c r="B65" s="172" t="s">
        <v>188</v>
      </c>
      <c r="C65" s="173">
        <v>1.2999999999999999E-3</v>
      </c>
      <c r="D65" s="214">
        <f t="shared" si="0"/>
        <v>42.95</v>
      </c>
      <c r="E65" s="215">
        <f t="shared" si="1"/>
        <v>42.95</v>
      </c>
    </row>
    <row r="66" spans="1:5" s="30" customFormat="1" x14ac:dyDescent="0.25">
      <c r="A66" s="171" t="s">
        <v>5</v>
      </c>
      <c r="B66" s="172" t="s">
        <v>186</v>
      </c>
      <c r="C66" s="173">
        <v>2.0000000000000001E-4</v>
      </c>
      <c r="D66" s="214">
        <f t="shared" si="0"/>
        <v>6.61</v>
      </c>
      <c r="E66" s="215">
        <f t="shared" si="1"/>
        <v>6.61</v>
      </c>
    </row>
    <row r="67" spans="1:5" s="30" customFormat="1" x14ac:dyDescent="0.25">
      <c r="A67" s="171" t="s">
        <v>20</v>
      </c>
      <c r="B67" s="172" t="s">
        <v>297</v>
      </c>
      <c r="C67" s="173">
        <v>2.8E-3</v>
      </c>
      <c r="D67" s="214">
        <f t="shared" si="0"/>
        <v>92.51</v>
      </c>
      <c r="E67" s="215">
        <f t="shared" si="1"/>
        <v>92.51</v>
      </c>
    </row>
    <row r="68" spans="1:5" s="30" customFormat="1" x14ac:dyDescent="0.25">
      <c r="A68" s="171" t="s">
        <v>21</v>
      </c>
      <c r="B68" s="172" t="s">
        <v>187</v>
      </c>
      <c r="C68" s="173">
        <v>2.9999999999999997E-4</v>
      </c>
      <c r="D68" s="214">
        <f t="shared" si="0"/>
        <v>9.91</v>
      </c>
      <c r="E68" s="215">
        <f t="shared" si="1"/>
        <v>9.91</v>
      </c>
    </row>
    <row r="69" spans="1:5" s="30" customFormat="1" ht="15.75" customHeight="1" x14ac:dyDescent="0.25">
      <c r="A69" s="171" t="s">
        <v>22</v>
      </c>
      <c r="B69" s="265" t="s">
        <v>189</v>
      </c>
      <c r="C69" s="173">
        <v>0</v>
      </c>
      <c r="D69" s="214">
        <f t="shared" si="0"/>
        <v>0</v>
      </c>
      <c r="E69" s="215">
        <f t="shared" si="1"/>
        <v>0</v>
      </c>
    </row>
    <row r="70" spans="1:5" s="30" customFormat="1" x14ac:dyDescent="0.25">
      <c r="A70" s="322" t="s">
        <v>29</v>
      </c>
      <c r="B70" s="323"/>
      <c r="C70" s="184">
        <f>SUM(C63:C69)</f>
        <v>2.7799999999999998E-2</v>
      </c>
      <c r="D70" s="71">
        <f>SUM(D63:D69)</f>
        <v>918.5</v>
      </c>
      <c r="E70" s="72">
        <f>SUM(E63:E69)</f>
        <v>918.5</v>
      </c>
    </row>
    <row r="71" spans="1:5" s="30" customFormat="1" x14ac:dyDescent="0.25">
      <c r="A71" s="272"/>
      <c r="B71" s="267"/>
      <c r="C71" s="205"/>
      <c r="D71" s="205"/>
      <c r="E71" s="196"/>
    </row>
    <row r="72" spans="1:5" s="30" customFormat="1" x14ac:dyDescent="0.25">
      <c r="A72" s="272"/>
      <c r="B72" s="336" t="s">
        <v>193</v>
      </c>
      <c r="C72" s="352"/>
      <c r="D72" s="169" t="s">
        <v>10</v>
      </c>
      <c r="E72" s="170" t="s">
        <v>10</v>
      </c>
    </row>
    <row r="73" spans="1:5" s="30" customFormat="1" x14ac:dyDescent="0.25">
      <c r="A73" s="195" t="s">
        <v>0</v>
      </c>
      <c r="B73" s="261" t="s">
        <v>194</v>
      </c>
      <c r="C73" s="220">
        <v>0</v>
      </c>
      <c r="D73" s="253">
        <v>0</v>
      </c>
      <c r="E73" s="254">
        <v>0</v>
      </c>
    </row>
    <row r="74" spans="1:5" s="30" customFormat="1" ht="15.75" customHeight="1" x14ac:dyDescent="0.25">
      <c r="A74" s="322" t="s">
        <v>27</v>
      </c>
      <c r="B74" s="323"/>
      <c r="C74" s="209">
        <v>0</v>
      </c>
      <c r="D74" s="71">
        <f>D73</f>
        <v>0</v>
      </c>
      <c r="E74" s="72">
        <f>E73</f>
        <v>0</v>
      </c>
    </row>
    <row r="75" spans="1:5" s="30" customFormat="1" ht="15.75" customHeight="1" x14ac:dyDescent="0.25">
      <c r="A75" s="317" t="s">
        <v>30</v>
      </c>
      <c r="B75" s="318"/>
      <c r="C75" s="318"/>
      <c r="D75" s="318"/>
      <c r="E75" s="377"/>
    </row>
    <row r="76" spans="1:5" s="30" customFormat="1" ht="15.75" customHeight="1" x14ac:dyDescent="0.25">
      <c r="A76" s="348" t="s">
        <v>195</v>
      </c>
      <c r="B76" s="349"/>
      <c r="C76" s="349"/>
      <c r="D76" s="349"/>
      <c r="E76" s="380"/>
    </row>
    <row r="77" spans="1:5" s="30" customFormat="1" ht="15.75" customHeight="1" x14ac:dyDescent="0.25">
      <c r="A77" s="266">
        <v>4</v>
      </c>
      <c r="B77" s="309" t="s">
        <v>206</v>
      </c>
      <c r="C77" s="310"/>
      <c r="D77" s="169" t="s">
        <v>10</v>
      </c>
      <c r="E77" s="170" t="s">
        <v>10</v>
      </c>
    </row>
    <row r="78" spans="1:5" s="30" customFormat="1" ht="15.75" customHeight="1" x14ac:dyDescent="0.25">
      <c r="A78" s="171" t="s">
        <v>191</v>
      </c>
      <c r="B78" s="172" t="s">
        <v>190</v>
      </c>
      <c r="C78" s="173">
        <f>C70</f>
        <v>2.7799999999999998E-2</v>
      </c>
      <c r="D78" s="214">
        <f>D70</f>
        <v>918.5</v>
      </c>
      <c r="E78" s="215">
        <f>E70</f>
        <v>918.5</v>
      </c>
    </row>
    <row r="79" spans="1:5" s="30" customFormat="1" ht="15.75" customHeight="1" x14ac:dyDescent="0.25">
      <c r="A79" s="171" t="s">
        <v>207</v>
      </c>
      <c r="B79" s="172" t="s">
        <v>193</v>
      </c>
      <c r="C79" s="173">
        <v>0</v>
      </c>
      <c r="D79" s="214">
        <f>(D$24+D$52+D$60)*C79</f>
        <v>0</v>
      </c>
      <c r="E79" s="215">
        <f>(E$24+E$52+E$60)*C79</f>
        <v>0</v>
      </c>
    </row>
    <row r="80" spans="1:5" s="30" customFormat="1" ht="15.75" customHeight="1" x14ac:dyDescent="0.25">
      <c r="A80" s="322" t="s">
        <v>27</v>
      </c>
      <c r="B80" s="323"/>
      <c r="C80" s="176">
        <f>SUM(C78:C79)</f>
        <v>2.7799999999999998E-2</v>
      </c>
      <c r="D80" s="71">
        <f>SUM(D78:D79)</f>
        <v>918.5</v>
      </c>
      <c r="E80" s="72">
        <f>SUM(E78:E79)</f>
        <v>918.5</v>
      </c>
    </row>
    <row r="81" spans="1:5" s="30" customFormat="1" ht="15.75" customHeight="1" x14ac:dyDescent="0.25">
      <c r="A81" s="313" t="s">
        <v>148</v>
      </c>
      <c r="B81" s="314"/>
      <c r="C81" s="314"/>
      <c r="D81" s="216">
        <f>SUM(D74+D80)</f>
        <v>918.5</v>
      </c>
      <c r="E81" s="217">
        <f>SUM(E74+E80)</f>
        <v>918.5</v>
      </c>
    </row>
    <row r="82" spans="1:5" s="30" customFormat="1" ht="15.75" customHeight="1" x14ac:dyDescent="0.25">
      <c r="A82" s="311" t="s">
        <v>157</v>
      </c>
      <c r="B82" s="312"/>
      <c r="C82" s="312"/>
      <c r="D82" s="312"/>
      <c r="E82" s="379"/>
    </row>
    <row r="83" spans="1:5" s="30" customFormat="1" ht="15.75" customHeight="1" x14ac:dyDescent="0.25">
      <c r="A83" s="266">
        <v>5</v>
      </c>
      <c r="B83" s="309" t="s">
        <v>24</v>
      </c>
      <c r="C83" s="310"/>
      <c r="D83" s="169" t="s">
        <v>10</v>
      </c>
      <c r="E83" s="170" t="s">
        <v>10</v>
      </c>
    </row>
    <row r="84" spans="1:5" s="30" customFormat="1" ht="15.75" customHeight="1" x14ac:dyDescent="0.25">
      <c r="A84" s="171" t="s">
        <v>0</v>
      </c>
      <c r="B84" s="315" t="s">
        <v>208</v>
      </c>
      <c r="C84" s="315"/>
      <c r="D84" s="214">
        <f>Uniformes!H7</f>
        <v>33.93</v>
      </c>
      <c r="E84" s="215">
        <f>Uniformes!H7</f>
        <v>33.93</v>
      </c>
    </row>
    <row r="85" spans="1:5" s="30" customFormat="1" ht="15.75" customHeight="1" x14ac:dyDescent="0.25">
      <c r="A85" s="171" t="s">
        <v>2</v>
      </c>
      <c r="B85" s="315" t="s">
        <v>209</v>
      </c>
      <c r="C85" s="315"/>
      <c r="D85" s="214">
        <f>Materiais!H20</f>
        <v>40.090000000000003</v>
      </c>
      <c r="E85" s="215">
        <f>Materiais!H21</f>
        <v>40.090000000000003</v>
      </c>
    </row>
    <row r="86" spans="1:5" s="30" customFormat="1" ht="15.75" customHeight="1" x14ac:dyDescent="0.25">
      <c r="A86" s="171" t="s">
        <v>3</v>
      </c>
      <c r="B86" s="315" t="s">
        <v>179</v>
      </c>
      <c r="C86" s="315"/>
      <c r="D86" s="214">
        <f>Equipamentos!H21</f>
        <v>765.63</v>
      </c>
      <c r="E86" s="215">
        <f>Equipamentos!H22</f>
        <v>765.63</v>
      </c>
    </row>
    <row r="87" spans="1:5" s="30" customFormat="1" ht="15.75" customHeight="1" x14ac:dyDescent="0.25">
      <c r="A87" s="171" t="s">
        <v>5</v>
      </c>
      <c r="B87" s="315" t="s">
        <v>132</v>
      </c>
      <c r="C87" s="315"/>
      <c r="D87" s="214">
        <v>0</v>
      </c>
      <c r="E87" s="215">
        <v>0</v>
      </c>
    </row>
    <row r="88" spans="1:5" s="30" customFormat="1" ht="15.75" customHeight="1" x14ac:dyDescent="0.25">
      <c r="A88" s="313" t="s">
        <v>149</v>
      </c>
      <c r="B88" s="314"/>
      <c r="C88" s="314"/>
      <c r="D88" s="216">
        <f>SUM(D84:D87)</f>
        <v>839.65</v>
      </c>
      <c r="E88" s="217">
        <f>SUM(E84:E87)</f>
        <v>839.65</v>
      </c>
    </row>
    <row r="89" spans="1:5" s="30" customFormat="1" ht="23.25" customHeight="1" x14ac:dyDescent="0.25">
      <c r="A89" s="311" t="s">
        <v>37</v>
      </c>
      <c r="B89" s="312"/>
      <c r="C89" s="312"/>
      <c r="D89" s="241">
        <f>D88+D81+D60+D52+D24</f>
        <v>34764.129999999997</v>
      </c>
      <c r="E89" s="242">
        <f>E88+E81+E60+E52+E24</f>
        <v>34764.129999999997</v>
      </c>
    </row>
    <row r="90" spans="1:5" s="30" customFormat="1" ht="19.5" customHeight="1" x14ac:dyDescent="0.25">
      <c r="A90" s="317" t="s">
        <v>158</v>
      </c>
      <c r="B90" s="318"/>
      <c r="C90" s="318"/>
      <c r="D90" s="318"/>
      <c r="E90" s="377"/>
    </row>
    <row r="91" spans="1:5" s="30" customFormat="1" x14ac:dyDescent="0.25">
      <c r="A91" s="266">
        <v>6</v>
      </c>
      <c r="B91" s="309" t="s">
        <v>38</v>
      </c>
      <c r="C91" s="316"/>
      <c r="D91" s="169" t="s">
        <v>10</v>
      </c>
      <c r="E91" s="170" t="s">
        <v>10</v>
      </c>
    </row>
    <row r="92" spans="1:5" s="30" customFormat="1" x14ac:dyDescent="0.25">
      <c r="A92" s="171" t="s">
        <v>0</v>
      </c>
      <c r="B92" s="172" t="s">
        <v>39</v>
      </c>
      <c r="C92" s="220">
        <v>0.05</v>
      </c>
      <c r="D92" s="214">
        <f>D89*C92</f>
        <v>1738.21</v>
      </c>
      <c r="E92" s="215">
        <f>E89*C92</f>
        <v>1738.21</v>
      </c>
    </row>
    <row r="93" spans="1:5" s="30" customFormat="1" x14ac:dyDescent="0.25">
      <c r="A93" s="171" t="s">
        <v>2</v>
      </c>
      <c r="B93" s="172" t="s">
        <v>40</v>
      </c>
      <c r="C93" s="220">
        <v>0.1</v>
      </c>
      <c r="D93" s="214">
        <f>C93*(D89+D92)</f>
        <v>3650.23</v>
      </c>
      <c r="E93" s="215">
        <f>C93*(E89+E92)</f>
        <v>3650.23</v>
      </c>
    </row>
    <row r="94" spans="1:5" s="30" customFormat="1" ht="30" x14ac:dyDescent="0.25">
      <c r="A94" s="171"/>
      <c r="B94" s="172" t="s">
        <v>47</v>
      </c>
      <c r="C94" s="173">
        <f>1-C101</f>
        <v>0.85750000000000004</v>
      </c>
      <c r="D94" s="214">
        <f>D89+D92+D93</f>
        <v>40152.57</v>
      </c>
      <c r="E94" s="215">
        <f>E89+E92+E93</f>
        <v>40152.57</v>
      </c>
    </row>
    <row r="95" spans="1:5" s="30" customFormat="1" x14ac:dyDescent="0.25">
      <c r="A95" s="171"/>
      <c r="B95" s="265"/>
      <c r="C95" s="40"/>
      <c r="D95" s="243">
        <f>+D94/C94</f>
        <v>46825.15</v>
      </c>
      <c r="E95" s="244">
        <f>+E94/C94</f>
        <v>46825.15</v>
      </c>
    </row>
    <row r="96" spans="1:5" s="30" customFormat="1" x14ac:dyDescent="0.25">
      <c r="A96" s="171" t="s">
        <v>3</v>
      </c>
      <c r="B96" s="265" t="s">
        <v>41</v>
      </c>
      <c r="C96" s="221">
        <f>C98+C99+C100</f>
        <v>0.14249999999999999</v>
      </c>
      <c r="D96" s="243"/>
      <c r="E96" s="244"/>
    </row>
    <row r="97" spans="1:5" s="30" customFormat="1" x14ac:dyDescent="0.25">
      <c r="A97" s="171" t="s">
        <v>289</v>
      </c>
      <c r="B97" s="265" t="s">
        <v>285</v>
      </c>
      <c r="C97" s="250">
        <f>C98+C99</f>
        <v>9.2499999999999999E-2</v>
      </c>
      <c r="D97" s="214"/>
      <c r="E97" s="215"/>
    </row>
    <row r="98" spans="1:5" s="30" customFormat="1" x14ac:dyDescent="0.25">
      <c r="A98" s="171" t="s">
        <v>290</v>
      </c>
      <c r="B98" s="172" t="s">
        <v>286</v>
      </c>
      <c r="C98" s="173">
        <v>1.6500000000000001E-2</v>
      </c>
      <c r="D98" s="214">
        <f>+D95*C98</f>
        <v>772.61</v>
      </c>
      <c r="E98" s="215">
        <f>+E95*C98</f>
        <v>772.61</v>
      </c>
    </row>
    <row r="99" spans="1:5" s="30" customFormat="1" x14ac:dyDescent="0.25">
      <c r="A99" s="171" t="s">
        <v>291</v>
      </c>
      <c r="B99" s="172" t="s">
        <v>287</v>
      </c>
      <c r="C99" s="173">
        <v>7.5999999999999998E-2</v>
      </c>
      <c r="D99" s="214">
        <f>+D95*C99</f>
        <v>3558.71</v>
      </c>
      <c r="E99" s="215">
        <f>+E95*C99</f>
        <v>3558.71</v>
      </c>
    </row>
    <row r="100" spans="1:5" s="30" customFormat="1" x14ac:dyDescent="0.25">
      <c r="A100" s="171" t="s">
        <v>292</v>
      </c>
      <c r="B100" s="172" t="s">
        <v>288</v>
      </c>
      <c r="C100" s="173">
        <v>0.05</v>
      </c>
      <c r="D100" s="214">
        <f>+D95*C100</f>
        <v>2341.2600000000002</v>
      </c>
      <c r="E100" s="215">
        <f>+E95*C100</f>
        <v>2341.2600000000002</v>
      </c>
    </row>
    <row r="101" spans="1:5" s="30" customFormat="1" x14ac:dyDescent="0.25">
      <c r="A101" s="266"/>
      <c r="B101" s="224" t="s">
        <v>42</v>
      </c>
      <c r="C101" s="225">
        <f>C96</f>
        <v>0.14249999999999999</v>
      </c>
      <c r="D101" s="226">
        <f>SUM(D98:D100)</f>
        <v>6672.58</v>
      </c>
      <c r="E101" s="227">
        <f>SUM(E98:E100)</f>
        <v>6672.58</v>
      </c>
    </row>
    <row r="102" spans="1:5" s="30" customFormat="1" ht="15.75" customHeight="1" x14ac:dyDescent="0.25">
      <c r="A102" s="322" t="s">
        <v>43</v>
      </c>
      <c r="B102" s="323"/>
      <c r="C102" s="323"/>
      <c r="D102" s="71">
        <f>+D92+D93+D101</f>
        <v>12061.02</v>
      </c>
      <c r="E102" s="72">
        <f>+E92+E93+E101</f>
        <v>12061.02</v>
      </c>
    </row>
    <row r="103" spans="1:5" s="30" customFormat="1" ht="15.75" customHeight="1" x14ac:dyDescent="0.25">
      <c r="A103" s="324" t="s">
        <v>44</v>
      </c>
      <c r="B103" s="325"/>
      <c r="C103" s="325"/>
      <c r="D103" s="228" t="s">
        <v>10</v>
      </c>
      <c r="E103" s="229" t="s">
        <v>10</v>
      </c>
    </row>
    <row r="104" spans="1:5" s="30" customFormat="1" x14ac:dyDescent="0.25">
      <c r="A104" s="171" t="s">
        <v>0</v>
      </c>
      <c r="B104" s="326" t="s">
        <v>45</v>
      </c>
      <c r="C104" s="326"/>
      <c r="D104" s="214">
        <f>D24</f>
        <v>19346.55</v>
      </c>
      <c r="E104" s="215">
        <f>E24</f>
        <v>19346.55</v>
      </c>
    </row>
    <row r="105" spans="1:5" s="30" customFormat="1" x14ac:dyDescent="0.25">
      <c r="A105" s="171" t="s">
        <v>2</v>
      </c>
      <c r="B105" s="326" t="s">
        <v>152</v>
      </c>
      <c r="C105" s="326"/>
      <c r="D105" s="214">
        <f>D52</f>
        <v>12264.55</v>
      </c>
      <c r="E105" s="215">
        <f>E52</f>
        <v>12264.55</v>
      </c>
    </row>
    <row r="106" spans="1:5" s="30" customFormat="1" x14ac:dyDescent="0.25">
      <c r="A106" s="171" t="s">
        <v>3</v>
      </c>
      <c r="B106" s="326" t="s">
        <v>150</v>
      </c>
      <c r="C106" s="326"/>
      <c r="D106" s="214">
        <f>D60</f>
        <v>1394.88</v>
      </c>
      <c r="E106" s="215">
        <f>E60</f>
        <v>1394.88</v>
      </c>
    </row>
    <row r="107" spans="1:5" s="30" customFormat="1" x14ac:dyDescent="0.25">
      <c r="A107" s="171" t="s">
        <v>5</v>
      </c>
      <c r="B107" s="326" t="s">
        <v>143</v>
      </c>
      <c r="C107" s="326"/>
      <c r="D107" s="214">
        <f>D81</f>
        <v>918.5</v>
      </c>
      <c r="E107" s="215">
        <f>E81</f>
        <v>918.5</v>
      </c>
    </row>
    <row r="108" spans="1:5" s="30" customFormat="1" x14ac:dyDescent="0.25">
      <c r="A108" s="171" t="s">
        <v>20</v>
      </c>
      <c r="B108" s="326" t="s">
        <v>151</v>
      </c>
      <c r="C108" s="326"/>
      <c r="D108" s="214">
        <f>D88</f>
        <v>839.65</v>
      </c>
      <c r="E108" s="215">
        <f>E88</f>
        <v>839.65</v>
      </c>
    </row>
    <row r="109" spans="1:5" s="30" customFormat="1" ht="15.75" customHeight="1" x14ac:dyDescent="0.25">
      <c r="A109" s="327" t="s">
        <v>153</v>
      </c>
      <c r="B109" s="328"/>
      <c r="C109" s="328"/>
      <c r="D109" s="226">
        <f>SUM(D104:D108)</f>
        <v>34764.129999999997</v>
      </c>
      <c r="E109" s="227">
        <f>SUM(E104:E108)</f>
        <v>34764.129999999997</v>
      </c>
    </row>
    <row r="110" spans="1:5" s="30" customFormat="1" x14ac:dyDescent="0.25">
      <c r="A110" s="171" t="s">
        <v>21</v>
      </c>
      <c r="B110" s="326" t="s">
        <v>154</v>
      </c>
      <c r="C110" s="326"/>
      <c r="D110" s="214">
        <f>+D102</f>
        <v>12061.02</v>
      </c>
      <c r="E110" s="215">
        <f>+E102</f>
        <v>12061.02</v>
      </c>
    </row>
    <row r="111" spans="1:5" s="30" customFormat="1" ht="16.5" customHeight="1" thickBot="1" x14ac:dyDescent="0.3">
      <c r="A111" s="319" t="s">
        <v>46</v>
      </c>
      <c r="B111" s="320"/>
      <c r="C111" s="320"/>
      <c r="D111" s="247">
        <f>+D109+D110</f>
        <v>46825.15</v>
      </c>
      <c r="E111" s="248">
        <f>+E109+E110</f>
        <v>46825.15</v>
      </c>
    </row>
    <row r="112" spans="1:5" ht="16.5" thickBot="1" x14ac:dyDescent="0.3">
      <c r="A112" s="390" t="s">
        <v>220</v>
      </c>
      <c r="B112" s="391"/>
      <c r="C112" s="391"/>
      <c r="D112" s="391"/>
      <c r="E112" s="392"/>
    </row>
    <row r="113" spans="1:5" x14ac:dyDescent="0.25">
      <c r="A113" s="381" t="s">
        <v>296</v>
      </c>
      <c r="B113" s="382"/>
      <c r="C113" s="382"/>
      <c r="D113" s="382"/>
      <c r="E113" s="383"/>
    </row>
    <row r="114" spans="1:5" x14ac:dyDescent="0.25">
      <c r="A114" s="384"/>
      <c r="B114" s="385"/>
      <c r="C114" s="385"/>
      <c r="D114" s="385"/>
      <c r="E114" s="386"/>
    </row>
    <row r="115" spans="1:5" x14ac:dyDescent="0.25">
      <c r="A115" s="384"/>
      <c r="B115" s="385"/>
      <c r="C115" s="385"/>
      <c r="D115" s="385"/>
      <c r="E115" s="386"/>
    </row>
    <row r="116" spans="1:5" x14ac:dyDescent="0.25">
      <c r="A116" s="384"/>
      <c r="B116" s="385"/>
      <c r="C116" s="385"/>
      <c r="D116" s="385"/>
      <c r="E116" s="386"/>
    </row>
    <row r="117" spans="1:5" x14ac:dyDescent="0.25">
      <c r="A117" s="384"/>
      <c r="B117" s="385"/>
      <c r="C117" s="385"/>
      <c r="D117" s="385"/>
      <c r="E117" s="386"/>
    </row>
    <row r="118" spans="1:5" x14ac:dyDescent="0.25">
      <c r="A118" s="384"/>
      <c r="B118" s="385"/>
      <c r="C118" s="385"/>
      <c r="D118" s="385"/>
      <c r="E118" s="386"/>
    </row>
    <row r="119" spans="1:5" x14ac:dyDescent="0.25">
      <c r="A119" s="384"/>
      <c r="B119" s="385"/>
      <c r="C119" s="385"/>
      <c r="D119" s="385"/>
      <c r="E119" s="386"/>
    </row>
    <row r="120" spans="1:5" x14ac:dyDescent="0.25">
      <c r="A120" s="384"/>
      <c r="B120" s="385"/>
      <c r="C120" s="385"/>
      <c r="D120" s="385"/>
      <c r="E120" s="386"/>
    </row>
    <row r="121" spans="1:5" x14ac:dyDescent="0.25">
      <c r="A121" s="384"/>
      <c r="B121" s="385"/>
      <c r="C121" s="385"/>
      <c r="D121" s="385"/>
      <c r="E121" s="386"/>
    </row>
    <row r="122" spans="1:5" ht="16.5" thickBot="1" x14ac:dyDescent="0.3">
      <c r="A122" s="387"/>
      <c r="B122" s="388"/>
      <c r="C122" s="388"/>
      <c r="D122" s="388"/>
      <c r="E122" s="389"/>
    </row>
    <row r="123" spans="1:5" x14ac:dyDescent="0.25">
      <c r="B123" s="28"/>
    </row>
  </sheetData>
  <mergeCells count="63">
    <mergeCell ref="C6:E6"/>
    <mergeCell ref="A7:E7"/>
    <mergeCell ref="A8:E8"/>
    <mergeCell ref="C5:E5"/>
    <mergeCell ref="A1:E1"/>
    <mergeCell ref="A2:E2"/>
    <mergeCell ref="C3:E3"/>
    <mergeCell ref="C4:E4"/>
    <mergeCell ref="A9:E9"/>
    <mergeCell ref="A10:C10"/>
    <mergeCell ref="B54:C54"/>
    <mergeCell ref="A60:B60"/>
    <mergeCell ref="A61:E61"/>
    <mergeCell ref="A24:C24"/>
    <mergeCell ref="C12:E12"/>
    <mergeCell ref="D10:E10"/>
    <mergeCell ref="C11:E11"/>
    <mergeCell ref="C13:E13"/>
    <mergeCell ref="C14:E14"/>
    <mergeCell ref="A15:C15"/>
    <mergeCell ref="B16:C16"/>
    <mergeCell ref="B62:C62"/>
    <mergeCell ref="A25:C25"/>
    <mergeCell ref="B41:C41"/>
    <mergeCell ref="A47:C47"/>
    <mergeCell ref="A48:E48"/>
    <mergeCell ref="A52:C52"/>
    <mergeCell ref="A53:E53"/>
    <mergeCell ref="B26:C26"/>
    <mergeCell ref="A29:B29"/>
    <mergeCell ref="A30:E30"/>
    <mergeCell ref="B31:C31"/>
    <mergeCell ref="A40:B40"/>
    <mergeCell ref="A70:B70"/>
    <mergeCell ref="B72:C72"/>
    <mergeCell ref="A74:B74"/>
    <mergeCell ref="A75:E75"/>
    <mergeCell ref="A76:E76"/>
    <mergeCell ref="B77:C77"/>
    <mergeCell ref="A80:B80"/>
    <mergeCell ref="A81:C81"/>
    <mergeCell ref="A82:E82"/>
    <mergeCell ref="B85:C85"/>
    <mergeCell ref="B84:C84"/>
    <mergeCell ref="B83:C83"/>
    <mergeCell ref="B86:C86"/>
    <mergeCell ref="B87:C87"/>
    <mergeCell ref="A88:C88"/>
    <mergeCell ref="A89:C89"/>
    <mergeCell ref="A90:E90"/>
    <mergeCell ref="B91:C91"/>
    <mergeCell ref="A102:C102"/>
    <mergeCell ref="A103:C103"/>
    <mergeCell ref="B107:C107"/>
    <mergeCell ref="B105:C105"/>
    <mergeCell ref="B106:C106"/>
    <mergeCell ref="B104:C104"/>
    <mergeCell ref="B108:C108"/>
    <mergeCell ref="A109:C109"/>
    <mergeCell ref="B110:C110"/>
    <mergeCell ref="A113:E122"/>
    <mergeCell ref="A111:C111"/>
    <mergeCell ref="A112:E112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3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view="pageBreakPreview" topLeftCell="A31" zoomScaleNormal="115" zoomScaleSheetLayoutView="100" workbookViewId="0">
      <selection activeCell="F6" sqref="F6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61"/>
      <c r="B1" s="362"/>
      <c r="C1" s="362"/>
      <c r="D1" s="362"/>
      <c r="E1" s="363"/>
    </row>
    <row r="2" spans="1:5" s="38" customFormat="1" ht="16.5" customHeight="1" x14ac:dyDescent="0.25">
      <c r="A2" s="333" t="s">
        <v>127</v>
      </c>
      <c r="B2" s="334"/>
      <c r="C2" s="334"/>
      <c r="D2" s="334"/>
      <c r="E2" s="335"/>
    </row>
    <row r="3" spans="1:5" s="38" customFormat="1" ht="15.75" customHeight="1" x14ac:dyDescent="0.25">
      <c r="A3" s="83" t="s">
        <v>0</v>
      </c>
      <c r="B3" s="145" t="s">
        <v>1</v>
      </c>
      <c r="C3" s="364">
        <v>2025</v>
      </c>
      <c r="D3" s="364"/>
      <c r="E3" s="365"/>
    </row>
    <row r="4" spans="1:5" s="38" customFormat="1" ht="90" customHeight="1" x14ac:dyDescent="0.25">
      <c r="A4" s="83" t="s">
        <v>2</v>
      </c>
      <c r="B4" s="145" t="s">
        <v>135</v>
      </c>
      <c r="C4" s="366" t="s">
        <v>248</v>
      </c>
      <c r="D4" s="366"/>
      <c r="E4" s="367"/>
    </row>
    <row r="5" spans="1:5" s="38" customFormat="1" ht="15.75" customHeight="1" x14ac:dyDescent="0.25">
      <c r="A5" s="83" t="s">
        <v>3</v>
      </c>
      <c r="B5" s="145" t="s">
        <v>4</v>
      </c>
      <c r="C5" s="366"/>
      <c r="D5" s="366"/>
      <c r="E5" s="367"/>
    </row>
    <row r="6" spans="1:5" s="38" customFormat="1" x14ac:dyDescent="0.25">
      <c r="A6" s="83" t="s">
        <v>5</v>
      </c>
      <c r="B6" s="145" t="s">
        <v>299</v>
      </c>
      <c r="C6" s="366">
        <v>12</v>
      </c>
      <c r="D6" s="366"/>
      <c r="E6" s="367"/>
    </row>
    <row r="7" spans="1:5" s="38" customFormat="1" x14ac:dyDescent="0.25">
      <c r="A7" s="344" t="s">
        <v>6</v>
      </c>
      <c r="B7" s="345"/>
      <c r="C7" s="345"/>
      <c r="D7" s="345"/>
      <c r="E7" s="346"/>
    </row>
    <row r="8" spans="1:5" s="38" customFormat="1" x14ac:dyDescent="0.25">
      <c r="A8" s="344" t="s">
        <v>7</v>
      </c>
      <c r="B8" s="345"/>
      <c r="C8" s="345"/>
      <c r="D8" s="345"/>
      <c r="E8" s="346"/>
    </row>
    <row r="9" spans="1:5" s="38" customFormat="1" ht="15.75" customHeight="1" x14ac:dyDescent="0.25">
      <c r="A9" s="344" t="s">
        <v>8</v>
      </c>
      <c r="B9" s="345"/>
      <c r="C9" s="345"/>
      <c r="D9" s="345"/>
      <c r="E9" s="346"/>
    </row>
    <row r="10" spans="1:5" s="38" customFormat="1" ht="30" customHeight="1" x14ac:dyDescent="0.25">
      <c r="A10" s="358" t="s">
        <v>9</v>
      </c>
      <c r="B10" s="331"/>
      <c r="C10" s="331"/>
      <c r="D10" s="370" t="s">
        <v>10</v>
      </c>
      <c r="E10" s="371"/>
    </row>
    <row r="11" spans="1:5" s="38" customFormat="1" ht="60" customHeight="1" x14ac:dyDescent="0.25">
      <c r="A11" s="83">
        <v>1</v>
      </c>
      <c r="B11" s="268" t="s">
        <v>128</v>
      </c>
      <c r="C11" s="337" t="s">
        <v>249</v>
      </c>
      <c r="D11" s="337"/>
      <c r="E11" s="338"/>
    </row>
    <row r="12" spans="1:5" s="38" customFormat="1" ht="30" customHeight="1" x14ac:dyDescent="0.25">
      <c r="A12" s="83">
        <v>2</v>
      </c>
      <c r="B12" s="268" t="s">
        <v>11</v>
      </c>
      <c r="C12" s="393">
        <f>(13581.68+(13581.68*10.18%)+(14964.25*8.9%)+(16296.07*6.97%)+(17431.95*7.5%))</f>
        <v>18739.349999999999</v>
      </c>
      <c r="D12" s="393"/>
      <c r="E12" s="394"/>
    </row>
    <row r="13" spans="1:5" s="38" customFormat="1" ht="15.95" customHeight="1" x14ac:dyDescent="0.25">
      <c r="A13" s="83">
        <v>3</v>
      </c>
      <c r="B13" s="268" t="s">
        <v>12</v>
      </c>
      <c r="C13" s="337" t="s">
        <v>225</v>
      </c>
      <c r="D13" s="337"/>
      <c r="E13" s="338"/>
    </row>
    <row r="14" spans="1:5" s="38" customFormat="1" x14ac:dyDescent="0.25">
      <c r="A14" s="83">
        <v>4</v>
      </c>
      <c r="B14" s="269" t="s">
        <v>13</v>
      </c>
      <c r="C14" s="340">
        <v>2025</v>
      </c>
      <c r="D14" s="340"/>
      <c r="E14" s="341"/>
    </row>
    <row r="15" spans="1:5" s="39" customFormat="1" ht="30" x14ac:dyDescent="0.25">
      <c r="A15" s="329" t="s">
        <v>14</v>
      </c>
      <c r="B15" s="330"/>
      <c r="C15" s="330"/>
      <c r="D15" s="146" t="s">
        <v>252</v>
      </c>
      <c r="E15" s="148" t="s">
        <v>254</v>
      </c>
    </row>
    <row r="16" spans="1:5" s="39" customFormat="1" x14ac:dyDescent="0.25">
      <c r="A16" s="272">
        <v>1</v>
      </c>
      <c r="B16" s="336" t="s">
        <v>15</v>
      </c>
      <c r="C16" s="336"/>
      <c r="D16" s="149" t="s">
        <v>10</v>
      </c>
      <c r="E16" s="150" t="s">
        <v>10</v>
      </c>
    </row>
    <row r="17" spans="1:5" s="38" customFormat="1" ht="15.75" customHeight="1" x14ac:dyDescent="0.25">
      <c r="A17" s="151" t="s">
        <v>0</v>
      </c>
      <c r="B17" s="152" t="s">
        <v>16</v>
      </c>
      <c r="C17" s="269"/>
      <c r="D17" s="112">
        <f>C12</f>
        <v>18739.349999999999</v>
      </c>
      <c r="E17" s="196">
        <f>C12</f>
        <v>18739.349999999999</v>
      </c>
    </row>
    <row r="18" spans="1:5" s="38" customFormat="1" ht="15.75" customHeight="1" x14ac:dyDescent="0.25">
      <c r="A18" s="151" t="s">
        <v>2</v>
      </c>
      <c r="B18" s="152" t="s">
        <v>17</v>
      </c>
      <c r="C18" s="155"/>
      <c r="D18" s="192"/>
      <c r="E18" s="232"/>
    </row>
    <row r="19" spans="1:5" s="38" customFormat="1" ht="15.75" customHeight="1" x14ac:dyDescent="0.25">
      <c r="A19" s="151" t="s">
        <v>3</v>
      </c>
      <c r="B19" s="152" t="s">
        <v>18</v>
      </c>
      <c r="C19" s="158">
        <v>1518</v>
      </c>
      <c r="D19" s="192">
        <f>40%*C19</f>
        <v>607.20000000000005</v>
      </c>
      <c r="E19" s="232">
        <f>40%*C19</f>
        <v>607.20000000000005</v>
      </c>
    </row>
    <row r="20" spans="1:5" s="38" customFormat="1" ht="15.75" customHeight="1" x14ac:dyDescent="0.25">
      <c r="A20" s="151" t="s">
        <v>5</v>
      </c>
      <c r="B20" s="152" t="s">
        <v>19</v>
      </c>
      <c r="C20" s="155"/>
      <c r="D20" s="192">
        <f>((((D17+D19)/220)*20%)*8)*15.21</f>
        <v>2140.08</v>
      </c>
      <c r="E20" s="232">
        <f>((((E17+E19)/220)*20%)*8)*15.21</f>
        <v>2140.08</v>
      </c>
    </row>
    <row r="21" spans="1:5" s="38" customFormat="1" ht="15.75" customHeight="1" x14ac:dyDescent="0.25">
      <c r="A21" s="151" t="s">
        <v>20</v>
      </c>
      <c r="B21" s="152" t="s">
        <v>196</v>
      </c>
      <c r="C21" s="155"/>
      <c r="D21" s="192"/>
      <c r="E21" s="232"/>
    </row>
    <row r="22" spans="1:5" s="38" customFormat="1" x14ac:dyDescent="0.25">
      <c r="A22" s="151" t="s">
        <v>21</v>
      </c>
      <c r="B22" s="152" t="s">
        <v>133</v>
      </c>
      <c r="C22" s="161"/>
      <c r="D22" s="192"/>
      <c r="E22" s="232"/>
    </row>
    <row r="23" spans="1:5" s="38" customFormat="1" ht="15.75" customHeight="1" x14ac:dyDescent="0.25">
      <c r="A23" s="151" t="s">
        <v>22</v>
      </c>
      <c r="B23" s="164" t="s">
        <v>134</v>
      </c>
      <c r="C23" s="161"/>
      <c r="D23" s="192"/>
      <c r="E23" s="232"/>
    </row>
    <row r="24" spans="1:5" s="39" customFormat="1" ht="15.75" customHeight="1" x14ac:dyDescent="0.25">
      <c r="A24" s="313" t="s">
        <v>145</v>
      </c>
      <c r="B24" s="314"/>
      <c r="C24" s="314"/>
      <c r="D24" s="216">
        <f>SUM(D17:D23)</f>
        <v>21486.63</v>
      </c>
      <c r="E24" s="217">
        <f>SUM(E17:E23)</f>
        <v>21486.63</v>
      </c>
    </row>
    <row r="25" spans="1:5" s="39" customFormat="1" x14ac:dyDescent="0.25">
      <c r="A25" s="317" t="s">
        <v>48</v>
      </c>
      <c r="B25" s="318"/>
      <c r="C25" s="318"/>
      <c r="D25" s="262"/>
      <c r="E25" s="251"/>
    </row>
    <row r="26" spans="1:5" s="38" customFormat="1" x14ac:dyDescent="0.25">
      <c r="A26" s="266">
        <v>2</v>
      </c>
      <c r="B26" s="309" t="s">
        <v>197</v>
      </c>
      <c r="C26" s="316"/>
      <c r="D26" s="169" t="s">
        <v>10</v>
      </c>
      <c r="E26" s="170" t="s">
        <v>10</v>
      </c>
    </row>
    <row r="27" spans="1:5" s="38" customFormat="1" x14ac:dyDescent="0.25">
      <c r="A27" s="171" t="s">
        <v>0</v>
      </c>
      <c r="B27" s="172" t="s">
        <v>28</v>
      </c>
      <c r="C27" s="173">
        <f>1/12</f>
        <v>8.3299999999999999E-2</v>
      </c>
      <c r="D27" s="214">
        <f>(D24)*C27</f>
        <v>1789.84</v>
      </c>
      <c r="E27" s="215">
        <f>(E24)*C27</f>
        <v>1789.84</v>
      </c>
    </row>
    <row r="28" spans="1:5" s="38" customFormat="1" x14ac:dyDescent="0.25">
      <c r="A28" s="171" t="s">
        <v>2</v>
      </c>
      <c r="B28" s="172" t="s">
        <v>141</v>
      </c>
      <c r="C28" s="173">
        <v>0.1111</v>
      </c>
      <c r="D28" s="214">
        <f>(D24)*C28</f>
        <v>2387.16</v>
      </c>
      <c r="E28" s="215">
        <f>(E24)*C28</f>
        <v>2387.16</v>
      </c>
    </row>
    <row r="29" spans="1:5" x14ac:dyDescent="0.25">
      <c r="A29" s="322" t="s">
        <v>27</v>
      </c>
      <c r="B29" s="323"/>
      <c r="C29" s="176">
        <f>SUM(C27:C28)</f>
        <v>0.19439999999999999</v>
      </c>
      <c r="D29" s="71">
        <f>SUM(D27:D28)</f>
        <v>4177</v>
      </c>
      <c r="E29" s="72">
        <f>SUM(E27:E28)</f>
        <v>4177</v>
      </c>
    </row>
    <row r="30" spans="1:5" ht="32.25" customHeight="1" x14ac:dyDescent="0.25">
      <c r="A30" s="355" t="s">
        <v>198</v>
      </c>
      <c r="B30" s="356"/>
      <c r="C30" s="356"/>
      <c r="D30" s="356"/>
      <c r="E30" s="357"/>
    </row>
    <row r="31" spans="1:5" x14ac:dyDescent="0.25">
      <c r="A31" s="260" t="s">
        <v>201</v>
      </c>
      <c r="B31" s="353" t="s">
        <v>25</v>
      </c>
      <c r="C31" s="354"/>
      <c r="D31" s="218" t="s">
        <v>10</v>
      </c>
      <c r="E31" s="219" t="s">
        <v>10</v>
      </c>
    </row>
    <row r="32" spans="1:5" x14ac:dyDescent="0.25">
      <c r="A32" s="171" t="s">
        <v>0</v>
      </c>
      <c r="B32" s="180" t="s">
        <v>300</v>
      </c>
      <c r="C32" s="173">
        <v>0.2</v>
      </c>
      <c r="D32" s="214">
        <f>(D24+D29)*C32</f>
        <v>5132.7299999999996</v>
      </c>
      <c r="E32" s="215">
        <f>(E24+E29)*C32</f>
        <v>5132.7299999999996</v>
      </c>
    </row>
    <row r="33" spans="1:5" x14ac:dyDescent="0.25">
      <c r="A33" s="171" t="s">
        <v>2</v>
      </c>
      <c r="B33" s="180" t="s">
        <v>301</v>
      </c>
      <c r="C33" s="181">
        <v>2.5000000000000001E-2</v>
      </c>
      <c r="D33" s="214">
        <f>(D24+D29)*C33</f>
        <v>641.59</v>
      </c>
      <c r="E33" s="215">
        <f>(E24+E29)*C33</f>
        <v>641.59</v>
      </c>
    </row>
    <row r="34" spans="1:5" ht="45" x14ac:dyDescent="0.25">
      <c r="A34" s="171" t="s">
        <v>3</v>
      </c>
      <c r="B34" s="259" t="s">
        <v>302</v>
      </c>
      <c r="C34" s="181">
        <v>0.03</v>
      </c>
      <c r="D34" s="214">
        <f>(D24+D29)*C34</f>
        <v>769.91</v>
      </c>
      <c r="E34" s="215">
        <f>(E24+E29)*C34</f>
        <v>769.91</v>
      </c>
    </row>
    <row r="35" spans="1:5" x14ac:dyDescent="0.25">
      <c r="A35" s="171" t="s">
        <v>5</v>
      </c>
      <c r="B35" s="180" t="s">
        <v>303</v>
      </c>
      <c r="C35" s="181">
        <v>1.4999999999999999E-2</v>
      </c>
      <c r="D35" s="214">
        <f>(D24+D29)*C35</f>
        <v>384.95</v>
      </c>
      <c r="E35" s="215">
        <f>(E24+E29)*C35</f>
        <v>384.95</v>
      </c>
    </row>
    <row r="36" spans="1:5" x14ac:dyDescent="0.25">
      <c r="A36" s="171" t="s">
        <v>20</v>
      </c>
      <c r="B36" s="180" t="s">
        <v>304</v>
      </c>
      <c r="C36" s="181">
        <v>0.01</v>
      </c>
      <c r="D36" s="214">
        <f>(D24+D29)*C36</f>
        <v>256.64</v>
      </c>
      <c r="E36" s="215">
        <f>(E24+E29)*C36</f>
        <v>256.64</v>
      </c>
    </row>
    <row r="37" spans="1:5" x14ac:dyDescent="0.25">
      <c r="A37" s="171" t="s">
        <v>21</v>
      </c>
      <c r="B37" s="182" t="s">
        <v>200</v>
      </c>
      <c r="C37" s="181">
        <v>6.0000000000000001E-3</v>
      </c>
      <c r="D37" s="214">
        <f>(D24+D29)*C37</f>
        <v>153.97999999999999</v>
      </c>
      <c r="E37" s="215">
        <f>(E24+E29)*C37</f>
        <v>153.97999999999999</v>
      </c>
    </row>
    <row r="38" spans="1:5" ht="30.75" customHeight="1" x14ac:dyDescent="0.25">
      <c r="A38" s="171" t="s">
        <v>22</v>
      </c>
      <c r="B38" s="259" t="s">
        <v>305</v>
      </c>
      <c r="C38" s="181">
        <v>2E-3</v>
      </c>
      <c r="D38" s="214">
        <f>(D24+D29)*C38</f>
        <v>51.33</v>
      </c>
      <c r="E38" s="215">
        <f>(E24+E29)*C38</f>
        <v>51.33</v>
      </c>
    </row>
    <row r="39" spans="1:5" x14ac:dyDescent="0.25">
      <c r="A39" s="171" t="s">
        <v>26</v>
      </c>
      <c r="B39" s="183" t="s">
        <v>199</v>
      </c>
      <c r="C39" s="181">
        <v>0.08</v>
      </c>
      <c r="D39" s="214">
        <f>(D24+D29)*C39</f>
        <v>2053.09</v>
      </c>
      <c r="E39" s="215">
        <f>(E24+E29)*C39</f>
        <v>2053.09</v>
      </c>
    </row>
    <row r="40" spans="1:5" s="30" customFormat="1" x14ac:dyDescent="0.25">
      <c r="A40" s="322" t="s">
        <v>27</v>
      </c>
      <c r="B40" s="323"/>
      <c r="C40" s="184">
        <f>SUM(C32:C39)</f>
        <v>0.36799999999999999</v>
      </c>
      <c r="D40" s="71">
        <f>SUM(D32:D39)</f>
        <v>9444.2199999999993</v>
      </c>
      <c r="E40" s="72">
        <f>SUM(E32:E39)</f>
        <v>9444.2199999999993</v>
      </c>
    </row>
    <row r="41" spans="1:5" s="30" customFormat="1" x14ac:dyDescent="0.25">
      <c r="A41" s="187" t="s">
        <v>202</v>
      </c>
      <c r="B41" s="350" t="s">
        <v>203</v>
      </c>
      <c r="C41" s="351"/>
      <c r="D41" s="235" t="s">
        <v>10</v>
      </c>
      <c r="E41" s="188" t="s">
        <v>10</v>
      </c>
    </row>
    <row r="42" spans="1:5" s="30" customFormat="1" x14ac:dyDescent="0.25">
      <c r="A42" s="189" t="s">
        <v>0</v>
      </c>
      <c r="B42" s="190" t="s">
        <v>137</v>
      </c>
      <c r="C42" s="191"/>
      <c r="D42" s="192">
        <v>0</v>
      </c>
      <c r="E42" s="232">
        <v>0</v>
      </c>
    </row>
    <row r="43" spans="1:5" s="30" customFormat="1" x14ac:dyDescent="0.25">
      <c r="A43" s="195" t="s">
        <v>2</v>
      </c>
      <c r="B43" s="164" t="s">
        <v>204</v>
      </c>
      <c r="C43" s="159"/>
      <c r="D43" s="112">
        <f>C43-(C43*0.99%)</f>
        <v>0</v>
      </c>
      <c r="E43" s="196">
        <f>C43-(C43*0.99%)</f>
        <v>0</v>
      </c>
    </row>
    <row r="44" spans="1:5" s="30" customFormat="1" x14ac:dyDescent="0.25">
      <c r="A44" s="171" t="s">
        <v>5</v>
      </c>
      <c r="B44" s="172" t="s">
        <v>129</v>
      </c>
      <c r="C44" s="197"/>
      <c r="D44" s="198">
        <v>0</v>
      </c>
      <c r="E44" s="199">
        <v>0</v>
      </c>
    </row>
    <row r="45" spans="1:5" s="30" customFormat="1" x14ac:dyDescent="0.25">
      <c r="A45" s="171" t="s">
        <v>20</v>
      </c>
      <c r="B45" s="172" t="s">
        <v>130</v>
      </c>
      <c r="C45" s="173"/>
      <c r="D45" s="198">
        <f>D17*C45*0.0199*2/12</f>
        <v>0</v>
      </c>
      <c r="E45" s="199">
        <f>E17*C45*0.0199*2/12</f>
        <v>0</v>
      </c>
    </row>
    <row r="46" spans="1:5" s="30" customFormat="1" x14ac:dyDescent="0.25">
      <c r="A46" s="171" t="s">
        <v>21</v>
      </c>
      <c r="B46" s="172" t="s">
        <v>131</v>
      </c>
      <c r="C46" s="197"/>
      <c r="D46" s="214">
        <v>0</v>
      </c>
      <c r="E46" s="215">
        <v>0</v>
      </c>
    </row>
    <row r="47" spans="1:5" s="30" customFormat="1" ht="15.75" customHeight="1" x14ac:dyDescent="0.25">
      <c r="A47" s="322" t="s">
        <v>23</v>
      </c>
      <c r="B47" s="323"/>
      <c r="C47" s="323"/>
      <c r="D47" s="71">
        <f>SUM(D42:D46)</f>
        <v>0</v>
      </c>
      <c r="E47" s="72">
        <f>SUM(E42:E46)</f>
        <v>0</v>
      </c>
    </row>
    <row r="48" spans="1:5" s="30" customFormat="1" ht="15.75" customHeight="1" x14ac:dyDescent="0.25">
      <c r="A48" s="317" t="s">
        <v>144</v>
      </c>
      <c r="B48" s="318"/>
      <c r="C48" s="318"/>
      <c r="D48" s="318"/>
      <c r="E48" s="377"/>
    </row>
    <row r="49" spans="1:5" s="30" customFormat="1" ht="15.75" customHeight="1" x14ac:dyDescent="0.25">
      <c r="A49" s="272" t="s">
        <v>136</v>
      </c>
      <c r="B49" s="203" t="s">
        <v>138</v>
      </c>
      <c r="C49" s="267"/>
      <c r="D49" s="153">
        <f>D29</f>
        <v>4177</v>
      </c>
      <c r="E49" s="154">
        <f>E29</f>
        <v>4177</v>
      </c>
    </row>
    <row r="50" spans="1:5" s="30" customFormat="1" ht="15.75" customHeight="1" x14ac:dyDescent="0.25">
      <c r="A50" s="272" t="s">
        <v>201</v>
      </c>
      <c r="B50" s="203" t="s">
        <v>139</v>
      </c>
      <c r="C50" s="267"/>
      <c r="D50" s="153">
        <f>D40</f>
        <v>9444.2199999999993</v>
      </c>
      <c r="E50" s="154">
        <f>E40</f>
        <v>9444.2199999999993</v>
      </c>
    </row>
    <row r="51" spans="1:5" s="30" customFormat="1" ht="15.75" customHeight="1" x14ac:dyDescent="0.25">
      <c r="A51" s="272" t="s">
        <v>202</v>
      </c>
      <c r="B51" s="203" t="s">
        <v>140</v>
      </c>
      <c r="C51" s="267"/>
      <c r="D51" s="153">
        <f>D47</f>
        <v>0</v>
      </c>
      <c r="E51" s="154">
        <f>E47</f>
        <v>0</v>
      </c>
    </row>
    <row r="52" spans="1:5" s="30" customFormat="1" ht="15.75" customHeight="1" x14ac:dyDescent="0.25">
      <c r="A52" s="313" t="s">
        <v>146</v>
      </c>
      <c r="B52" s="314"/>
      <c r="C52" s="314"/>
      <c r="D52" s="216">
        <f>SUM(D49:D51)</f>
        <v>13621.22</v>
      </c>
      <c r="E52" s="217">
        <f>SUM(E49:E51)</f>
        <v>13621.22</v>
      </c>
    </row>
    <row r="53" spans="1:5" s="30" customFormat="1" ht="15.75" customHeight="1" x14ac:dyDescent="0.25">
      <c r="A53" s="317" t="s">
        <v>155</v>
      </c>
      <c r="B53" s="318"/>
      <c r="C53" s="318"/>
      <c r="D53" s="318"/>
      <c r="E53" s="377"/>
    </row>
    <row r="54" spans="1:5" s="30" customFormat="1" ht="15.75" customHeight="1" x14ac:dyDescent="0.25">
      <c r="A54" s="266" t="s">
        <v>192</v>
      </c>
      <c r="B54" s="309" t="s">
        <v>32</v>
      </c>
      <c r="C54" s="310"/>
      <c r="D54" s="169" t="s">
        <v>10</v>
      </c>
      <c r="E54" s="170" t="s">
        <v>10</v>
      </c>
    </row>
    <row r="55" spans="1:5" s="30" customFormat="1" ht="15.75" customHeight="1" x14ac:dyDescent="0.25">
      <c r="A55" s="171" t="s">
        <v>0</v>
      </c>
      <c r="B55" s="172" t="s">
        <v>33</v>
      </c>
      <c r="C55" s="173">
        <v>4.5999999999999999E-3</v>
      </c>
      <c r="D55" s="214">
        <f>D$24*C55</f>
        <v>98.84</v>
      </c>
      <c r="E55" s="215">
        <f>E$24*C55</f>
        <v>98.84</v>
      </c>
    </row>
    <row r="56" spans="1:5" s="30" customFormat="1" ht="15.75" customHeight="1" x14ac:dyDescent="0.25">
      <c r="A56" s="171" t="s">
        <v>2</v>
      </c>
      <c r="B56" s="172" t="s">
        <v>34</v>
      </c>
      <c r="C56" s="173">
        <v>4.0000000000000002E-4</v>
      </c>
      <c r="D56" s="214">
        <f>D$24*C56</f>
        <v>8.59</v>
      </c>
      <c r="E56" s="215">
        <f>E$24*C56</f>
        <v>8.59</v>
      </c>
    </row>
    <row r="57" spans="1:5" s="30" customFormat="1" ht="15.75" customHeight="1" x14ac:dyDescent="0.25">
      <c r="A57" s="171" t="s">
        <v>3</v>
      </c>
      <c r="B57" s="172" t="s">
        <v>35</v>
      </c>
      <c r="C57" s="173">
        <v>1.9400000000000001E-2</v>
      </c>
      <c r="D57" s="214">
        <f>D$24*C57</f>
        <v>416.84</v>
      </c>
      <c r="E57" s="215">
        <f>E$24*C57</f>
        <v>416.84</v>
      </c>
    </row>
    <row r="58" spans="1:5" s="30" customFormat="1" ht="30" customHeight="1" x14ac:dyDescent="0.25">
      <c r="A58" s="171" t="s">
        <v>5</v>
      </c>
      <c r="B58" s="204" t="s">
        <v>309</v>
      </c>
      <c r="C58" s="173">
        <v>7.7000000000000002E-3</v>
      </c>
      <c r="D58" s="214">
        <f>D$24*C58</f>
        <v>165.45</v>
      </c>
      <c r="E58" s="215">
        <f>E$24*C58</f>
        <v>165.45</v>
      </c>
    </row>
    <row r="59" spans="1:5" s="30" customFormat="1" ht="32.25" customHeight="1" x14ac:dyDescent="0.25">
      <c r="A59" s="171" t="s">
        <v>20</v>
      </c>
      <c r="B59" s="172" t="s">
        <v>205</v>
      </c>
      <c r="C59" s="173">
        <v>0.04</v>
      </c>
      <c r="D59" s="214">
        <f>D$24*C59</f>
        <v>859.47</v>
      </c>
      <c r="E59" s="215">
        <f>E$24*C59</f>
        <v>859.47</v>
      </c>
    </row>
    <row r="60" spans="1:5" s="30" customFormat="1" ht="15.75" customHeight="1" x14ac:dyDescent="0.25">
      <c r="A60" s="313" t="s">
        <v>147</v>
      </c>
      <c r="B60" s="314"/>
      <c r="C60" s="274">
        <f>SUM(C55:C59)</f>
        <v>7.2099999999999997E-2</v>
      </c>
      <c r="D60" s="216">
        <f>SUM(D55:D59)</f>
        <v>1549.19</v>
      </c>
      <c r="E60" s="217">
        <f>SUM(E55:E59)</f>
        <v>1549.19</v>
      </c>
    </row>
    <row r="61" spans="1:5" s="30" customFormat="1" x14ac:dyDescent="0.25">
      <c r="A61" s="317" t="s">
        <v>156</v>
      </c>
      <c r="B61" s="318"/>
      <c r="C61" s="318"/>
      <c r="D61" s="318"/>
      <c r="E61" s="377"/>
    </row>
    <row r="62" spans="1:5" s="30" customFormat="1" x14ac:dyDescent="0.25">
      <c r="A62" s="266" t="s">
        <v>191</v>
      </c>
      <c r="B62" s="347" t="s">
        <v>36</v>
      </c>
      <c r="C62" s="347"/>
      <c r="D62" s="169" t="s">
        <v>10</v>
      </c>
      <c r="E62" s="170" t="s">
        <v>10</v>
      </c>
    </row>
    <row r="63" spans="1:5" s="30" customFormat="1" x14ac:dyDescent="0.25">
      <c r="A63" s="171" t="s">
        <v>0</v>
      </c>
      <c r="B63" s="172" t="s">
        <v>184</v>
      </c>
      <c r="C63" s="173">
        <f>C28/12</f>
        <v>9.2999999999999992E-3</v>
      </c>
      <c r="D63" s="214">
        <f t="shared" ref="D63:D69" si="0">(D$24+D$52+D$60+D$84)*C63</f>
        <v>341.23</v>
      </c>
      <c r="E63" s="215">
        <f t="shared" ref="E63:E69" si="1">(E$24+E$52+E$60+E$84)*C63</f>
        <v>341.23</v>
      </c>
    </row>
    <row r="64" spans="1:5" s="30" customFormat="1" x14ac:dyDescent="0.25">
      <c r="A64" s="171" t="s">
        <v>2</v>
      </c>
      <c r="B64" s="172" t="s">
        <v>185</v>
      </c>
      <c r="C64" s="173">
        <v>1.3899999999999999E-2</v>
      </c>
      <c r="D64" s="214">
        <f t="shared" si="0"/>
        <v>510</v>
      </c>
      <c r="E64" s="215">
        <f t="shared" si="1"/>
        <v>510</v>
      </c>
    </row>
    <row r="65" spans="1:5" s="30" customFormat="1" x14ac:dyDescent="0.25">
      <c r="A65" s="171" t="s">
        <v>3</v>
      </c>
      <c r="B65" s="172" t="s">
        <v>188</v>
      </c>
      <c r="C65" s="173">
        <v>1.2999999999999999E-3</v>
      </c>
      <c r="D65" s="214">
        <f t="shared" si="0"/>
        <v>47.7</v>
      </c>
      <c r="E65" s="215">
        <f t="shared" si="1"/>
        <v>47.7</v>
      </c>
    </row>
    <row r="66" spans="1:5" s="30" customFormat="1" x14ac:dyDescent="0.25">
      <c r="A66" s="171" t="s">
        <v>5</v>
      </c>
      <c r="B66" s="172" t="s">
        <v>186</v>
      </c>
      <c r="C66" s="173">
        <v>2.0000000000000001E-4</v>
      </c>
      <c r="D66" s="214">
        <f t="shared" si="0"/>
        <v>7.34</v>
      </c>
      <c r="E66" s="215">
        <f t="shared" si="1"/>
        <v>7.34</v>
      </c>
    </row>
    <row r="67" spans="1:5" s="30" customFormat="1" x14ac:dyDescent="0.25">
      <c r="A67" s="171" t="s">
        <v>20</v>
      </c>
      <c r="B67" s="172" t="s">
        <v>297</v>
      </c>
      <c r="C67" s="173">
        <v>2.8E-3</v>
      </c>
      <c r="D67" s="214">
        <f t="shared" si="0"/>
        <v>102.73</v>
      </c>
      <c r="E67" s="215">
        <f t="shared" si="1"/>
        <v>102.73</v>
      </c>
    </row>
    <row r="68" spans="1:5" s="30" customFormat="1" x14ac:dyDescent="0.25">
      <c r="A68" s="171" t="s">
        <v>21</v>
      </c>
      <c r="B68" s="172" t="s">
        <v>187</v>
      </c>
      <c r="C68" s="173">
        <v>2.9999999999999997E-4</v>
      </c>
      <c r="D68" s="214">
        <f t="shared" si="0"/>
        <v>11.01</v>
      </c>
      <c r="E68" s="215">
        <f t="shared" si="1"/>
        <v>11.01</v>
      </c>
    </row>
    <row r="69" spans="1:5" s="30" customFormat="1" ht="15.75" customHeight="1" x14ac:dyDescent="0.25">
      <c r="A69" s="171" t="s">
        <v>22</v>
      </c>
      <c r="B69" s="265" t="s">
        <v>189</v>
      </c>
      <c r="C69" s="173">
        <v>0</v>
      </c>
      <c r="D69" s="214">
        <f t="shared" si="0"/>
        <v>0</v>
      </c>
      <c r="E69" s="215">
        <f t="shared" si="1"/>
        <v>0</v>
      </c>
    </row>
    <row r="70" spans="1:5" s="30" customFormat="1" x14ac:dyDescent="0.25">
      <c r="A70" s="322" t="s">
        <v>29</v>
      </c>
      <c r="B70" s="323"/>
      <c r="C70" s="184">
        <f>SUM(C63:C69)</f>
        <v>2.7799999999999998E-2</v>
      </c>
      <c r="D70" s="71">
        <f>SUM(D63:D69)</f>
        <v>1020.01</v>
      </c>
      <c r="E70" s="72">
        <f>SUM(E63:E69)</f>
        <v>1020.01</v>
      </c>
    </row>
    <row r="71" spans="1:5" s="30" customFormat="1" x14ac:dyDescent="0.25">
      <c r="A71" s="272"/>
      <c r="B71" s="267"/>
      <c r="C71" s="205"/>
      <c r="D71" s="205"/>
      <c r="E71" s="196"/>
    </row>
    <row r="72" spans="1:5" s="30" customFormat="1" x14ac:dyDescent="0.25">
      <c r="A72" s="272"/>
      <c r="B72" s="336" t="s">
        <v>193</v>
      </c>
      <c r="C72" s="352"/>
      <c r="D72" s="169" t="s">
        <v>10</v>
      </c>
      <c r="E72" s="170" t="s">
        <v>10</v>
      </c>
    </row>
    <row r="73" spans="1:5" s="30" customFormat="1" x14ac:dyDescent="0.25">
      <c r="A73" s="195" t="s">
        <v>0</v>
      </c>
      <c r="B73" s="261" t="s">
        <v>194</v>
      </c>
      <c r="C73" s="220">
        <v>0</v>
      </c>
      <c r="D73" s="253">
        <v>0</v>
      </c>
      <c r="E73" s="254">
        <v>0</v>
      </c>
    </row>
    <row r="74" spans="1:5" s="30" customFormat="1" ht="15.75" customHeight="1" x14ac:dyDescent="0.25">
      <c r="A74" s="322" t="s">
        <v>27</v>
      </c>
      <c r="B74" s="323"/>
      <c r="C74" s="209">
        <v>0</v>
      </c>
      <c r="D74" s="71">
        <f>D73</f>
        <v>0</v>
      </c>
      <c r="E74" s="72">
        <f>E73</f>
        <v>0</v>
      </c>
    </row>
    <row r="75" spans="1:5" s="30" customFormat="1" ht="15.75" customHeight="1" x14ac:dyDescent="0.25">
      <c r="A75" s="317" t="s">
        <v>30</v>
      </c>
      <c r="B75" s="318"/>
      <c r="C75" s="318"/>
      <c r="D75" s="318"/>
      <c r="E75" s="377"/>
    </row>
    <row r="76" spans="1:5" s="30" customFormat="1" ht="15.75" customHeight="1" x14ac:dyDescent="0.25">
      <c r="A76" s="348" t="s">
        <v>195</v>
      </c>
      <c r="B76" s="349"/>
      <c r="C76" s="349"/>
      <c r="D76" s="349"/>
      <c r="E76" s="380"/>
    </row>
    <row r="77" spans="1:5" s="30" customFormat="1" ht="15.75" customHeight="1" x14ac:dyDescent="0.25">
      <c r="A77" s="266">
        <v>4</v>
      </c>
      <c r="B77" s="309" t="s">
        <v>206</v>
      </c>
      <c r="C77" s="310"/>
      <c r="D77" s="169" t="s">
        <v>10</v>
      </c>
      <c r="E77" s="170" t="s">
        <v>10</v>
      </c>
    </row>
    <row r="78" spans="1:5" s="30" customFormat="1" ht="15.75" customHeight="1" x14ac:dyDescent="0.25">
      <c r="A78" s="171" t="s">
        <v>191</v>
      </c>
      <c r="B78" s="172" t="s">
        <v>190</v>
      </c>
      <c r="C78" s="173">
        <f>C70</f>
        <v>2.7799999999999998E-2</v>
      </c>
      <c r="D78" s="214">
        <f>D70</f>
        <v>1020.01</v>
      </c>
      <c r="E78" s="215">
        <f>E70</f>
        <v>1020.01</v>
      </c>
    </row>
    <row r="79" spans="1:5" s="30" customFormat="1" ht="15.75" customHeight="1" x14ac:dyDescent="0.25">
      <c r="A79" s="171" t="s">
        <v>207</v>
      </c>
      <c r="B79" s="172" t="s">
        <v>193</v>
      </c>
      <c r="C79" s="173">
        <v>0</v>
      </c>
      <c r="D79" s="214">
        <f>(D$24+D$52+D$60)*C79</f>
        <v>0</v>
      </c>
      <c r="E79" s="215">
        <f>(E$24+E$52+E$60)*C79</f>
        <v>0</v>
      </c>
    </row>
    <row r="80" spans="1:5" s="30" customFormat="1" ht="15.75" customHeight="1" x14ac:dyDescent="0.25">
      <c r="A80" s="322" t="s">
        <v>27</v>
      </c>
      <c r="B80" s="323"/>
      <c r="C80" s="176">
        <f>SUM(C78:C79)</f>
        <v>2.7799999999999998E-2</v>
      </c>
      <c r="D80" s="71">
        <f>SUM(D78:D79)</f>
        <v>1020.01</v>
      </c>
      <c r="E80" s="72">
        <f>SUM(E78:E79)</f>
        <v>1020.01</v>
      </c>
    </row>
    <row r="81" spans="1:5" s="30" customFormat="1" ht="15.75" customHeight="1" x14ac:dyDescent="0.25">
      <c r="A81" s="313" t="s">
        <v>148</v>
      </c>
      <c r="B81" s="314"/>
      <c r="C81" s="314"/>
      <c r="D81" s="216">
        <f>SUM(D74+D80)</f>
        <v>1020.01</v>
      </c>
      <c r="E81" s="217">
        <f>SUM(E74+E80)</f>
        <v>1020.01</v>
      </c>
    </row>
    <row r="82" spans="1:5" s="30" customFormat="1" ht="15.75" customHeight="1" x14ac:dyDescent="0.25">
      <c r="A82" s="311" t="s">
        <v>157</v>
      </c>
      <c r="B82" s="312"/>
      <c r="C82" s="312"/>
      <c r="D82" s="312"/>
      <c r="E82" s="379"/>
    </row>
    <row r="83" spans="1:5" s="30" customFormat="1" ht="15.75" customHeight="1" x14ac:dyDescent="0.25">
      <c r="A83" s="266">
        <v>5</v>
      </c>
      <c r="B83" s="309" t="s">
        <v>24</v>
      </c>
      <c r="C83" s="310"/>
      <c r="D83" s="169" t="s">
        <v>10</v>
      </c>
      <c r="E83" s="170" t="s">
        <v>10</v>
      </c>
    </row>
    <row r="84" spans="1:5" s="30" customFormat="1" ht="15.75" customHeight="1" x14ac:dyDescent="0.25">
      <c r="A84" s="171" t="s">
        <v>0</v>
      </c>
      <c r="B84" s="315" t="s">
        <v>208</v>
      </c>
      <c r="C84" s="315"/>
      <c r="D84" s="214">
        <f>Uniformes!H7</f>
        <v>33.93</v>
      </c>
      <c r="E84" s="215">
        <f>Uniformes!H7</f>
        <v>33.93</v>
      </c>
    </row>
    <row r="85" spans="1:5" s="30" customFormat="1" ht="15.75" customHeight="1" x14ac:dyDescent="0.25">
      <c r="A85" s="171" t="s">
        <v>2</v>
      </c>
      <c r="B85" s="315" t="s">
        <v>209</v>
      </c>
      <c r="C85" s="315"/>
      <c r="D85" s="214">
        <f>Materiais!H20</f>
        <v>40.090000000000003</v>
      </c>
      <c r="E85" s="215">
        <f>Materiais!H21</f>
        <v>40.090000000000003</v>
      </c>
    </row>
    <row r="86" spans="1:5" s="30" customFormat="1" ht="15.75" customHeight="1" x14ac:dyDescent="0.25">
      <c r="A86" s="171" t="s">
        <v>3</v>
      </c>
      <c r="B86" s="315" t="s">
        <v>179</v>
      </c>
      <c r="C86" s="315"/>
      <c r="D86" s="214">
        <f>Equipamentos!H21</f>
        <v>765.63</v>
      </c>
      <c r="E86" s="215">
        <f>Equipamentos!H22</f>
        <v>765.63</v>
      </c>
    </row>
    <row r="87" spans="1:5" s="30" customFormat="1" ht="15.75" customHeight="1" x14ac:dyDescent="0.25">
      <c r="A87" s="171" t="s">
        <v>5</v>
      </c>
      <c r="B87" s="315" t="s">
        <v>132</v>
      </c>
      <c r="C87" s="315"/>
      <c r="D87" s="214">
        <v>0</v>
      </c>
      <c r="E87" s="215">
        <v>0</v>
      </c>
    </row>
    <row r="88" spans="1:5" s="30" customFormat="1" ht="15.75" customHeight="1" x14ac:dyDescent="0.25">
      <c r="A88" s="313" t="s">
        <v>149</v>
      </c>
      <c r="B88" s="314"/>
      <c r="C88" s="314"/>
      <c r="D88" s="216">
        <f>SUM(D84:D87)</f>
        <v>839.65</v>
      </c>
      <c r="E88" s="217">
        <f>SUM(E84:E87)</f>
        <v>839.65</v>
      </c>
    </row>
    <row r="89" spans="1:5" s="30" customFormat="1" ht="23.25" customHeight="1" x14ac:dyDescent="0.25">
      <c r="A89" s="311" t="s">
        <v>37</v>
      </c>
      <c r="B89" s="312"/>
      <c r="C89" s="312"/>
      <c r="D89" s="241">
        <f>D88+D81+D60+D52+D24</f>
        <v>38516.699999999997</v>
      </c>
      <c r="E89" s="242">
        <f>E88+E81+E60+E52+E24</f>
        <v>38516.699999999997</v>
      </c>
    </row>
    <row r="90" spans="1:5" s="30" customFormat="1" ht="19.5" customHeight="1" x14ac:dyDescent="0.25">
      <c r="A90" s="317" t="s">
        <v>158</v>
      </c>
      <c r="B90" s="318"/>
      <c r="C90" s="318"/>
      <c r="D90" s="318"/>
      <c r="E90" s="377"/>
    </row>
    <row r="91" spans="1:5" s="30" customFormat="1" x14ac:dyDescent="0.25">
      <c r="A91" s="266">
        <v>6</v>
      </c>
      <c r="B91" s="309" t="s">
        <v>38</v>
      </c>
      <c r="C91" s="316"/>
      <c r="D91" s="169" t="s">
        <v>10</v>
      </c>
      <c r="E91" s="170" t="s">
        <v>10</v>
      </c>
    </row>
    <row r="92" spans="1:5" s="30" customFormat="1" x14ac:dyDescent="0.25">
      <c r="A92" s="171" t="s">
        <v>0</v>
      </c>
      <c r="B92" s="172" t="s">
        <v>39</v>
      </c>
      <c r="C92" s="220">
        <v>0.05</v>
      </c>
      <c r="D92" s="214">
        <f>D89*C92</f>
        <v>1925.84</v>
      </c>
      <c r="E92" s="215">
        <f>E89*C92</f>
        <v>1925.84</v>
      </c>
    </row>
    <row r="93" spans="1:5" s="30" customFormat="1" x14ac:dyDescent="0.25">
      <c r="A93" s="171" t="s">
        <v>2</v>
      </c>
      <c r="B93" s="172" t="s">
        <v>40</v>
      </c>
      <c r="C93" s="220">
        <v>0.1</v>
      </c>
      <c r="D93" s="214">
        <f>C93*(D89+D92)</f>
        <v>4044.25</v>
      </c>
      <c r="E93" s="215">
        <f>C93*(E89+E92)</f>
        <v>4044.25</v>
      </c>
    </row>
    <row r="94" spans="1:5" s="30" customFormat="1" ht="30" x14ac:dyDescent="0.25">
      <c r="A94" s="171"/>
      <c r="B94" s="172" t="s">
        <v>47</v>
      </c>
      <c r="C94" s="173">
        <f>1-C101</f>
        <v>0.85750000000000004</v>
      </c>
      <c r="D94" s="214">
        <f>D89+D92+D93</f>
        <v>44486.79</v>
      </c>
      <c r="E94" s="215">
        <f>E89+E92+E93</f>
        <v>44486.79</v>
      </c>
    </row>
    <row r="95" spans="1:5" s="30" customFormat="1" x14ac:dyDescent="0.25">
      <c r="A95" s="171"/>
      <c r="B95" s="265"/>
      <c r="C95" s="40"/>
      <c r="D95" s="243">
        <f>+D94/C94</f>
        <v>51879.64</v>
      </c>
      <c r="E95" s="244">
        <f>+E94/C94</f>
        <v>51879.64</v>
      </c>
    </row>
    <row r="96" spans="1:5" s="30" customFormat="1" x14ac:dyDescent="0.25">
      <c r="A96" s="171" t="s">
        <v>3</v>
      </c>
      <c r="B96" s="265" t="s">
        <v>41</v>
      </c>
      <c r="C96" s="221">
        <f>C98+C99+C100</f>
        <v>0.14249999999999999</v>
      </c>
      <c r="D96" s="243"/>
      <c r="E96" s="244"/>
    </row>
    <row r="97" spans="1:5" s="30" customFormat="1" x14ac:dyDescent="0.25">
      <c r="A97" s="171" t="s">
        <v>289</v>
      </c>
      <c r="B97" s="265" t="s">
        <v>285</v>
      </c>
      <c r="C97" s="250">
        <f>C98+C99</f>
        <v>9.2499999999999999E-2</v>
      </c>
      <c r="D97" s="214"/>
      <c r="E97" s="215"/>
    </row>
    <row r="98" spans="1:5" s="30" customFormat="1" x14ac:dyDescent="0.25">
      <c r="A98" s="171" t="s">
        <v>290</v>
      </c>
      <c r="B98" s="172" t="s">
        <v>286</v>
      </c>
      <c r="C98" s="173">
        <v>1.6500000000000001E-2</v>
      </c>
      <c r="D98" s="214">
        <f>+D95*C98</f>
        <v>856.01</v>
      </c>
      <c r="E98" s="215">
        <f>+E95*C98</f>
        <v>856.01</v>
      </c>
    </row>
    <row r="99" spans="1:5" s="30" customFormat="1" x14ac:dyDescent="0.25">
      <c r="A99" s="171" t="s">
        <v>291</v>
      </c>
      <c r="B99" s="172" t="s">
        <v>287</v>
      </c>
      <c r="C99" s="173">
        <v>7.5999999999999998E-2</v>
      </c>
      <c r="D99" s="214">
        <f>+D95*C99</f>
        <v>3942.85</v>
      </c>
      <c r="E99" s="215">
        <f>+E95*C99</f>
        <v>3942.85</v>
      </c>
    </row>
    <row r="100" spans="1:5" s="30" customFormat="1" x14ac:dyDescent="0.25">
      <c r="A100" s="171" t="s">
        <v>292</v>
      </c>
      <c r="B100" s="172" t="s">
        <v>288</v>
      </c>
      <c r="C100" s="173">
        <v>0.05</v>
      </c>
      <c r="D100" s="214">
        <f>+D95*C100</f>
        <v>2593.98</v>
      </c>
      <c r="E100" s="215">
        <f>+E95*C100</f>
        <v>2593.98</v>
      </c>
    </row>
    <row r="101" spans="1:5" s="30" customFormat="1" x14ac:dyDescent="0.25">
      <c r="A101" s="266"/>
      <c r="B101" s="224" t="s">
        <v>42</v>
      </c>
      <c r="C101" s="225">
        <f>C96</f>
        <v>0.14249999999999999</v>
      </c>
      <c r="D101" s="226">
        <f>SUM(D98:D100)</f>
        <v>7392.84</v>
      </c>
      <c r="E101" s="227">
        <f>SUM(E98:E100)</f>
        <v>7392.84</v>
      </c>
    </row>
    <row r="102" spans="1:5" s="30" customFormat="1" ht="15.75" customHeight="1" x14ac:dyDescent="0.25">
      <c r="A102" s="322" t="s">
        <v>43</v>
      </c>
      <c r="B102" s="323"/>
      <c r="C102" s="323"/>
      <c r="D102" s="71">
        <f>+D92+D93+D101</f>
        <v>13362.93</v>
      </c>
      <c r="E102" s="72">
        <f>+E92+E93+E101</f>
        <v>13362.93</v>
      </c>
    </row>
    <row r="103" spans="1:5" s="30" customFormat="1" ht="15.75" customHeight="1" x14ac:dyDescent="0.25">
      <c r="A103" s="324" t="s">
        <v>44</v>
      </c>
      <c r="B103" s="325"/>
      <c r="C103" s="325"/>
      <c r="D103" s="228" t="s">
        <v>10</v>
      </c>
      <c r="E103" s="229" t="s">
        <v>10</v>
      </c>
    </row>
    <row r="104" spans="1:5" s="30" customFormat="1" x14ac:dyDescent="0.25">
      <c r="A104" s="171" t="s">
        <v>0</v>
      </c>
      <c r="B104" s="326" t="s">
        <v>45</v>
      </c>
      <c r="C104" s="326"/>
      <c r="D104" s="214">
        <f>D24</f>
        <v>21486.63</v>
      </c>
      <c r="E104" s="215">
        <f>E24</f>
        <v>21486.63</v>
      </c>
    </row>
    <row r="105" spans="1:5" s="30" customFormat="1" x14ac:dyDescent="0.25">
      <c r="A105" s="171" t="s">
        <v>2</v>
      </c>
      <c r="B105" s="326" t="s">
        <v>152</v>
      </c>
      <c r="C105" s="326"/>
      <c r="D105" s="214">
        <f>D52</f>
        <v>13621.22</v>
      </c>
      <c r="E105" s="215">
        <f>E52</f>
        <v>13621.22</v>
      </c>
    </row>
    <row r="106" spans="1:5" s="30" customFormat="1" x14ac:dyDescent="0.25">
      <c r="A106" s="171" t="s">
        <v>3</v>
      </c>
      <c r="B106" s="326" t="s">
        <v>150</v>
      </c>
      <c r="C106" s="326"/>
      <c r="D106" s="214">
        <f>D60</f>
        <v>1549.19</v>
      </c>
      <c r="E106" s="215">
        <f>E60</f>
        <v>1549.19</v>
      </c>
    </row>
    <row r="107" spans="1:5" s="30" customFormat="1" x14ac:dyDescent="0.25">
      <c r="A107" s="171" t="s">
        <v>5</v>
      </c>
      <c r="B107" s="326" t="s">
        <v>143</v>
      </c>
      <c r="C107" s="326"/>
      <c r="D107" s="214">
        <f>D81</f>
        <v>1020.01</v>
      </c>
      <c r="E107" s="215">
        <f>E81</f>
        <v>1020.01</v>
      </c>
    </row>
    <row r="108" spans="1:5" s="30" customFormat="1" x14ac:dyDescent="0.25">
      <c r="A108" s="171" t="s">
        <v>20</v>
      </c>
      <c r="B108" s="326" t="s">
        <v>151</v>
      </c>
      <c r="C108" s="326"/>
      <c r="D108" s="214">
        <f>D88</f>
        <v>839.65</v>
      </c>
      <c r="E108" s="215">
        <f>E88</f>
        <v>839.65</v>
      </c>
    </row>
    <row r="109" spans="1:5" s="30" customFormat="1" ht="15.75" customHeight="1" x14ac:dyDescent="0.25">
      <c r="A109" s="327" t="s">
        <v>153</v>
      </c>
      <c r="B109" s="328"/>
      <c r="C109" s="328"/>
      <c r="D109" s="226">
        <f>SUM(D104:D108)</f>
        <v>38516.699999999997</v>
      </c>
      <c r="E109" s="227">
        <f>SUM(E104:E108)</f>
        <v>38516.699999999997</v>
      </c>
    </row>
    <row r="110" spans="1:5" s="30" customFormat="1" x14ac:dyDescent="0.25">
      <c r="A110" s="171" t="s">
        <v>21</v>
      </c>
      <c r="B110" s="326" t="s">
        <v>154</v>
      </c>
      <c r="C110" s="326"/>
      <c r="D110" s="214">
        <f>+D102</f>
        <v>13362.93</v>
      </c>
      <c r="E110" s="215">
        <f>+E102</f>
        <v>13362.93</v>
      </c>
    </row>
    <row r="111" spans="1:5" s="30" customFormat="1" ht="16.5" customHeight="1" thickBot="1" x14ac:dyDescent="0.3">
      <c r="A111" s="319" t="s">
        <v>46</v>
      </c>
      <c r="B111" s="320"/>
      <c r="C111" s="320"/>
      <c r="D111" s="247">
        <f>+D109+D110</f>
        <v>51879.63</v>
      </c>
      <c r="E111" s="248">
        <f>+E109+E110</f>
        <v>51879.63</v>
      </c>
    </row>
    <row r="112" spans="1:5" ht="16.5" thickBot="1" x14ac:dyDescent="0.3">
      <c r="A112" s="390" t="s">
        <v>220</v>
      </c>
      <c r="B112" s="391"/>
      <c r="C112" s="391"/>
      <c r="D112" s="391"/>
      <c r="E112" s="392"/>
    </row>
    <row r="113" spans="1:5" ht="15.75" customHeight="1" x14ac:dyDescent="0.25">
      <c r="A113" s="381" t="s">
        <v>296</v>
      </c>
      <c r="B113" s="382"/>
      <c r="C113" s="382"/>
      <c r="D113" s="382"/>
      <c r="E113" s="383"/>
    </row>
    <row r="114" spans="1:5" x14ac:dyDescent="0.25">
      <c r="A114" s="384"/>
      <c r="B114" s="385"/>
      <c r="C114" s="385"/>
      <c r="D114" s="385"/>
      <c r="E114" s="386"/>
    </row>
    <row r="115" spans="1:5" x14ac:dyDescent="0.25">
      <c r="A115" s="384"/>
      <c r="B115" s="385"/>
      <c r="C115" s="385"/>
      <c r="D115" s="385"/>
      <c r="E115" s="386"/>
    </row>
    <row r="116" spans="1:5" x14ac:dyDescent="0.25">
      <c r="A116" s="384"/>
      <c r="B116" s="385"/>
      <c r="C116" s="385"/>
      <c r="D116" s="385"/>
      <c r="E116" s="386"/>
    </row>
    <row r="117" spans="1:5" x14ac:dyDescent="0.25">
      <c r="A117" s="384"/>
      <c r="B117" s="385"/>
      <c r="C117" s="385"/>
      <c r="D117" s="385"/>
      <c r="E117" s="386"/>
    </row>
    <row r="118" spans="1:5" x14ac:dyDescent="0.25">
      <c r="A118" s="384"/>
      <c r="B118" s="385"/>
      <c r="C118" s="385"/>
      <c r="D118" s="385"/>
      <c r="E118" s="386"/>
    </row>
    <row r="119" spans="1:5" x14ac:dyDescent="0.25">
      <c r="A119" s="384"/>
      <c r="B119" s="385"/>
      <c r="C119" s="385"/>
      <c r="D119" s="385"/>
      <c r="E119" s="386"/>
    </row>
    <row r="120" spans="1:5" x14ac:dyDescent="0.25">
      <c r="A120" s="384"/>
      <c r="B120" s="385"/>
      <c r="C120" s="385"/>
      <c r="D120" s="385"/>
      <c r="E120" s="386"/>
    </row>
    <row r="121" spans="1:5" x14ac:dyDescent="0.25">
      <c r="A121" s="384"/>
      <c r="B121" s="385"/>
      <c r="C121" s="385"/>
      <c r="D121" s="385"/>
      <c r="E121" s="386"/>
    </row>
    <row r="122" spans="1:5" ht="16.5" thickBot="1" x14ac:dyDescent="0.3">
      <c r="A122" s="387"/>
      <c r="B122" s="388"/>
      <c r="C122" s="388"/>
      <c r="D122" s="388"/>
      <c r="E122" s="389"/>
    </row>
    <row r="123" spans="1:5" x14ac:dyDescent="0.25">
      <c r="B123" s="28"/>
    </row>
  </sheetData>
  <mergeCells count="63">
    <mergeCell ref="C6:E6"/>
    <mergeCell ref="A7:E7"/>
    <mergeCell ref="A8:E8"/>
    <mergeCell ref="C5:E5"/>
    <mergeCell ref="A1:E1"/>
    <mergeCell ref="A2:E2"/>
    <mergeCell ref="C3:E3"/>
    <mergeCell ref="C4:E4"/>
    <mergeCell ref="A9:E9"/>
    <mergeCell ref="A10:C10"/>
    <mergeCell ref="B54:C54"/>
    <mergeCell ref="A60:B60"/>
    <mergeCell ref="A61:E61"/>
    <mergeCell ref="A24:C24"/>
    <mergeCell ref="C12:E12"/>
    <mergeCell ref="D10:E10"/>
    <mergeCell ref="C11:E11"/>
    <mergeCell ref="C13:E13"/>
    <mergeCell ref="C14:E14"/>
    <mergeCell ref="A15:C15"/>
    <mergeCell ref="B16:C16"/>
    <mergeCell ref="B62:C62"/>
    <mergeCell ref="A25:C25"/>
    <mergeCell ref="B41:C41"/>
    <mergeCell ref="A47:C47"/>
    <mergeCell ref="A48:E48"/>
    <mergeCell ref="A52:C52"/>
    <mergeCell ref="A53:E53"/>
    <mergeCell ref="B26:C26"/>
    <mergeCell ref="A29:B29"/>
    <mergeCell ref="A30:E30"/>
    <mergeCell ref="B31:C31"/>
    <mergeCell ref="A40:B40"/>
    <mergeCell ref="A70:B70"/>
    <mergeCell ref="B72:C72"/>
    <mergeCell ref="A74:B74"/>
    <mergeCell ref="A75:E75"/>
    <mergeCell ref="A76:E76"/>
    <mergeCell ref="B77:C77"/>
    <mergeCell ref="A80:B80"/>
    <mergeCell ref="A81:C81"/>
    <mergeCell ref="A82:E82"/>
    <mergeCell ref="B85:C85"/>
    <mergeCell ref="B84:C84"/>
    <mergeCell ref="B83:C83"/>
    <mergeCell ref="B86:C86"/>
    <mergeCell ref="B87:C87"/>
    <mergeCell ref="A88:C88"/>
    <mergeCell ref="A89:C89"/>
    <mergeCell ref="A90:E90"/>
    <mergeCell ref="B91:C91"/>
    <mergeCell ref="A102:C102"/>
    <mergeCell ref="A103:C103"/>
    <mergeCell ref="B107:C107"/>
    <mergeCell ref="B105:C105"/>
    <mergeCell ref="B106:C106"/>
    <mergeCell ref="B104:C104"/>
    <mergeCell ref="B108:C108"/>
    <mergeCell ref="A109:C109"/>
    <mergeCell ref="B110:C110"/>
    <mergeCell ref="A113:E122"/>
    <mergeCell ref="A111:C111"/>
    <mergeCell ref="A112:E112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view="pageBreakPreview" zoomScaleNormal="100" zoomScaleSheetLayoutView="100" workbookViewId="0">
      <selection activeCell="F6" sqref="F6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.75" customHeight="1" x14ac:dyDescent="0.25">
      <c r="A1" s="395" t="s">
        <v>216</v>
      </c>
      <c r="B1" s="396"/>
      <c r="C1" s="396"/>
      <c r="D1" s="396"/>
      <c r="E1" s="396"/>
      <c r="F1" s="396"/>
      <c r="G1" s="396"/>
      <c r="H1" s="397"/>
    </row>
    <row r="2" spans="1:8" ht="15.75" customHeight="1" x14ac:dyDescent="0.25">
      <c r="A2" s="45" t="s">
        <v>159</v>
      </c>
      <c r="B2" s="43" t="s">
        <v>178</v>
      </c>
      <c r="C2" s="43" t="s">
        <v>261</v>
      </c>
      <c r="D2" s="43" t="s">
        <v>161</v>
      </c>
      <c r="E2" s="43" t="s">
        <v>161</v>
      </c>
      <c r="F2" s="43" t="s">
        <v>162</v>
      </c>
      <c r="G2" s="43" t="s">
        <v>212</v>
      </c>
      <c r="H2" s="46" t="s">
        <v>165</v>
      </c>
    </row>
    <row r="3" spans="1:8" ht="15.75" customHeight="1" x14ac:dyDescent="0.25">
      <c r="A3" s="83">
        <v>1</v>
      </c>
      <c r="B3" s="94"/>
      <c r="C3" s="79" t="s">
        <v>262</v>
      </c>
      <c r="D3" s="82">
        <v>2</v>
      </c>
      <c r="E3" s="79">
        <f t="shared" ref="E3" si="0">D3*2</f>
        <v>4</v>
      </c>
      <c r="F3" s="112">
        <v>42.7</v>
      </c>
      <c r="G3" s="80">
        <f>F3*E3</f>
        <v>170.8</v>
      </c>
      <c r="H3" s="84">
        <f>G3/12</f>
        <v>14.23</v>
      </c>
    </row>
    <row r="4" spans="1:8" ht="15.75" customHeight="1" x14ac:dyDescent="0.25">
      <c r="A4" s="83">
        <v>2</v>
      </c>
      <c r="B4" s="81" t="s">
        <v>263</v>
      </c>
      <c r="C4" s="79" t="s">
        <v>262</v>
      </c>
      <c r="D4" s="82">
        <v>2</v>
      </c>
      <c r="E4" s="79">
        <f t="shared" ref="E4:E6" si="1">D4*2</f>
        <v>4</v>
      </c>
      <c r="F4" s="80">
        <v>38.89</v>
      </c>
      <c r="G4" s="80">
        <f>F4*E4</f>
        <v>155.56</v>
      </c>
      <c r="H4" s="84">
        <f>G4/12</f>
        <v>12.96</v>
      </c>
    </row>
    <row r="5" spans="1:8" ht="15.75" customHeight="1" x14ac:dyDescent="0.25">
      <c r="A5" s="83">
        <v>3</v>
      </c>
      <c r="B5" s="81" t="s">
        <v>264</v>
      </c>
      <c r="C5" s="79" t="s">
        <v>262</v>
      </c>
      <c r="D5" s="82">
        <v>1</v>
      </c>
      <c r="E5" s="79">
        <f t="shared" si="1"/>
        <v>2</v>
      </c>
      <c r="F5" s="80">
        <v>1.29</v>
      </c>
      <c r="G5" s="80">
        <f>F5*E5</f>
        <v>2.58</v>
      </c>
      <c r="H5" s="84">
        <f>G5/12</f>
        <v>0.22</v>
      </c>
    </row>
    <row r="6" spans="1:8" ht="15.75" customHeight="1" thickBot="1" x14ac:dyDescent="0.3">
      <c r="A6" s="114">
        <v>4</v>
      </c>
      <c r="B6" s="115" t="s">
        <v>265</v>
      </c>
      <c r="C6" s="116" t="s">
        <v>262</v>
      </c>
      <c r="D6" s="117">
        <v>1</v>
      </c>
      <c r="E6" s="116">
        <f t="shared" si="1"/>
        <v>2</v>
      </c>
      <c r="F6" s="118">
        <v>39.1</v>
      </c>
      <c r="G6" s="118">
        <f>F6*E6</f>
        <v>78.2</v>
      </c>
      <c r="H6" s="119">
        <f>G6/12</f>
        <v>6.52</v>
      </c>
    </row>
    <row r="7" spans="1:8" ht="15.75" customHeight="1" thickBot="1" x14ac:dyDescent="0.3">
      <c r="A7" s="398" t="s">
        <v>217</v>
      </c>
      <c r="B7" s="399"/>
      <c r="C7" s="399"/>
      <c r="D7" s="399"/>
      <c r="E7" s="399"/>
      <c r="F7" s="400"/>
      <c r="G7" s="400"/>
      <c r="H7" s="113">
        <f>SUM(H3:H6)</f>
        <v>33.93</v>
      </c>
    </row>
    <row r="8" spans="1:8" ht="15.75" customHeight="1" thickBot="1" x14ac:dyDescent="0.3">
      <c r="A8" s="401" t="s">
        <v>239</v>
      </c>
      <c r="B8" s="402"/>
      <c r="C8" s="402"/>
      <c r="D8" s="402"/>
      <c r="E8" s="402"/>
      <c r="F8" s="402"/>
      <c r="G8" s="402"/>
      <c r="H8" s="403"/>
    </row>
    <row r="9" spans="1:8" ht="15" customHeight="1" x14ac:dyDescent="0.25">
      <c r="A9" s="404" t="s">
        <v>306</v>
      </c>
      <c r="B9" s="405"/>
      <c r="C9" s="405"/>
      <c r="D9" s="405"/>
      <c r="E9" s="405"/>
      <c r="F9" s="405"/>
      <c r="G9" s="405"/>
      <c r="H9" s="406"/>
    </row>
    <row r="10" spans="1:8" x14ac:dyDescent="0.25">
      <c r="A10" s="407"/>
      <c r="B10" s="408"/>
      <c r="C10" s="408"/>
      <c r="D10" s="408"/>
      <c r="E10" s="408"/>
      <c r="F10" s="408"/>
      <c r="G10" s="408"/>
      <c r="H10" s="409"/>
    </row>
    <row r="11" spans="1:8" x14ac:dyDescent="0.25">
      <c r="A11" s="407"/>
      <c r="B11" s="408"/>
      <c r="C11" s="408"/>
      <c r="D11" s="408"/>
      <c r="E11" s="408"/>
      <c r="F11" s="408"/>
      <c r="G11" s="408"/>
      <c r="H11" s="409"/>
    </row>
    <row r="12" spans="1:8" x14ac:dyDescent="0.25">
      <c r="A12" s="407"/>
      <c r="B12" s="408"/>
      <c r="C12" s="408"/>
      <c r="D12" s="408"/>
      <c r="E12" s="408"/>
      <c r="F12" s="408"/>
      <c r="G12" s="408"/>
      <c r="H12" s="409"/>
    </row>
    <row r="13" spans="1:8" x14ac:dyDescent="0.25">
      <c r="A13" s="407"/>
      <c r="B13" s="408"/>
      <c r="C13" s="408"/>
      <c r="D13" s="408"/>
      <c r="E13" s="408"/>
      <c r="F13" s="408"/>
      <c r="G13" s="408"/>
      <c r="H13" s="409"/>
    </row>
    <row r="14" spans="1:8" x14ac:dyDescent="0.25">
      <c r="A14" s="407"/>
      <c r="B14" s="408"/>
      <c r="C14" s="408"/>
      <c r="D14" s="408"/>
      <c r="E14" s="408"/>
      <c r="F14" s="408"/>
      <c r="G14" s="408"/>
      <c r="H14" s="409"/>
    </row>
    <row r="15" spans="1:8" x14ac:dyDescent="0.25">
      <c r="A15" s="407"/>
      <c r="B15" s="408"/>
      <c r="C15" s="408"/>
      <c r="D15" s="408"/>
      <c r="E15" s="408"/>
      <c r="F15" s="408"/>
      <c r="G15" s="408"/>
      <c r="H15" s="409"/>
    </row>
    <row r="16" spans="1:8" x14ac:dyDescent="0.25">
      <c r="A16" s="407"/>
      <c r="B16" s="408"/>
      <c r="C16" s="408"/>
      <c r="D16" s="408"/>
      <c r="E16" s="408"/>
      <c r="F16" s="408"/>
      <c r="G16" s="408"/>
      <c r="H16" s="409"/>
    </row>
    <row r="17" spans="1:8" x14ac:dyDescent="0.25">
      <c r="A17" s="407"/>
      <c r="B17" s="408"/>
      <c r="C17" s="408"/>
      <c r="D17" s="408"/>
      <c r="E17" s="408"/>
      <c r="F17" s="408"/>
      <c r="G17" s="408"/>
      <c r="H17" s="409"/>
    </row>
    <row r="18" spans="1:8" x14ac:dyDescent="0.25">
      <c r="A18" s="407"/>
      <c r="B18" s="408"/>
      <c r="C18" s="408"/>
      <c r="D18" s="408"/>
      <c r="E18" s="408"/>
      <c r="F18" s="408"/>
      <c r="G18" s="408"/>
      <c r="H18" s="409"/>
    </row>
    <row r="19" spans="1:8" x14ac:dyDescent="0.25">
      <c r="A19" s="407"/>
      <c r="B19" s="408"/>
      <c r="C19" s="408"/>
      <c r="D19" s="408"/>
      <c r="E19" s="408"/>
      <c r="F19" s="408"/>
      <c r="G19" s="408"/>
      <c r="H19" s="409"/>
    </row>
    <row r="20" spans="1:8" x14ac:dyDescent="0.25">
      <c r="A20" s="407"/>
      <c r="B20" s="408"/>
      <c r="C20" s="408"/>
      <c r="D20" s="408"/>
      <c r="E20" s="408"/>
      <c r="F20" s="408"/>
      <c r="G20" s="408"/>
      <c r="H20" s="409"/>
    </row>
    <row r="21" spans="1:8" x14ac:dyDescent="0.25">
      <c r="A21" s="407"/>
      <c r="B21" s="408"/>
      <c r="C21" s="408"/>
      <c r="D21" s="408"/>
      <c r="E21" s="408"/>
      <c r="F21" s="408"/>
      <c r="G21" s="408"/>
      <c r="H21" s="409"/>
    </row>
    <row r="22" spans="1:8" ht="15.75" thickBot="1" x14ac:dyDescent="0.3">
      <c r="A22" s="410"/>
      <c r="B22" s="411"/>
      <c r="C22" s="411"/>
      <c r="D22" s="411"/>
      <c r="E22" s="411"/>
      <c r="F22" s="411"/>
      <c r="G22" s="411"/>
      <c r="H22" s="412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view="pageBreakPreview" topLeftCell="A14" zoomScaleNormal="100" zoomScaleSheetLayoutView="100" workbookViewId="0">
      <selection activeCell="F6" sqref="F6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425" t="s">
        <v>229</v>
      </c>
      <c r="B1" s="426"/>
      <c r="C1" s="426"/>
      <c r="D1" s="426"/>
      <c r="E1" s="426"/>
      <c r="F1" s="426"/>
      <c r="G1" s="426"/>
      <c r="H1" s="427"/>
    </row>
    <row r="2" spans="1:8" ht="15" customHeight="1" thickBot="1" x14ac:dyDescent="0.3">
      <c r="A2" s="428" t="s">
        <v>230</v>
      </c>
      <c r="B2" s="429"/>
      <c r="C2" s="429"/>
      <c r="D2" s="429"/>
      <c r="E2" s="429"/>
      <c r="F2" s="429"/>
      <c r="G2" s="429"/>
      <c r="H2" s="430"/>
    </row>
    <row r="3" spans="1:8" ht="30" customHeight="1" thickBot="1" x14ac:dyDescent="0.3">
      <c r="A3" s="104" t="s">
        <v>159</v>
      </c>
      <c r="B3" s="105" t="s">
        <v>231</v>
      </c>
      <c r="C3" s="105" t="s">
        <v>160</v>
      </c>
      <c r="D3" s="105" t="s">
        <v>279</v>
      </c>
      <c r="E3" s="105" t="s">
        <v>278</v>
      </c>
      <c r="F3" s="105" t="s">
        <v>162</v>
      </c>
      <c r="G3" s="105" t="s">
        <v>212</v>
      </c>
      <c r="H3" s="106" t="s">
        <v>165</v>
      </c>
    </row>
    <row r="4" spans="1:8" ht="249.95" customHeight="1" thickBot="1" x14ac:dyDescent="0.3">
      <c r="A4" s="97">
        <v>1</v>
      </c>
      <c r="B4" s="98" t="s">
        <v>266</v>
      </c>
      <c r="C4" s="99" t="s">
        <v>160</v>
      </c>
      <c r="D4" s="100">
        <v>1</v>
      </c>
      <c r="E4" s="101">
        <f>D4</f>
        <v>1</v>
      </c>
      <c r="F4" s="102">
        <f>(Equipamentos!F7*1%)</f>
        <v>3039</v>
      </c>
      <c r="G4" s="102">
        <f>F4*E4</f>
        <v>3039</v>
      </c>
      <c r="H4" s="103">
        <f>G4/12</f>
        <v>253.25</v>
      </c>
    </row>
    <row r="5" spans="1:8" ht="30" customHeight="1" thickBot="1" x14ac:dyDescent="0.3">
      <c r="A5" s="104" t="s">
        <v>159</v>
      </c>
      <c r="B5" s="105" t="s">
        <v>231</v>
      </c>
      <c r="C5" s="105" t="s">
        <v>160</v>
      </c>
      <c r="D5" s="105" t="s">
        <v>279</v>
      </c>
      <c r="E5" s="105" t="s">
        <v>278</v>
      </c>
      <c r="F5" s="105" t="s">
        <v>280</v>
      </c>
      <c r="G5" s="105" t="s">
        <v>212</v>
      </c>
      <c r="H5" s="106" t="s">
        <v>165</v>
      </c>
    </row>
    <row r="6" spans="1:8" ht="30" customHeight="1" x14ac:dyDescent="0.25">
      <c r="A6" s="107">
        <v>2</v>
      </c>
      <c r="B6" s="255" t="s">
        <v>281</v>
      </c>
      <c r="C6" s="100" t="s">
        <v>282</v>
      </c>
      <c r="D6" s="108">
        <v>3.5</v>
      </c>
      <c r="E6" s="108">
        <f>D6*12</f>
        <v>42</v>
      </c>
      <c r="F6" s="109">
        <v>27.66</v>
      </c>
      <c r="G6" s="109">
        <f>F6*E6</f>
        <v>1161.72</v>
      </c>
      <c r="H6" s="110">
        <f>G6/12</f>
        <v>96.81</v>
      </c>
    </row>
    <row r="7" spans="1:8" ht="30" customHeight="1" thickBot="1" x14ac:dyDescent="0.3">
      <c r="A7" s="111">
        <v>3</v>
      </c>
      <c r="B7" s="256" t="s">
        <v>283</v>
      </c>
      <c r="C7" s="56" t="s">
        <v>282</v>
      </c>
      <c r="D7" s="96">
        <v>3.5</v>
      </c>
      <c r="E7" s="96">
        <f>D7*12</f>
        <v>42</v>
      </c>
      <c r="F7" s="57">
        <v>34.79</v>
      </c>
      <c r="G7" s="57">
        <f>F7*E7</f>
        <v>1461.18</v>
      </c>
      <c r="H7" s="70">
        <f>G7/12</f>
        <v>121.77</v>
      </c>
    </row>
    <row r="8" spans="1:8" ht="15" customHeight="1" thickBot="1" x14ac:dyDescent="0.3">
      <c r="A8" s="431" t="s">
        <v>241</v>
      </c>
      <c r="B8" s="432"/>
      <c r="C8" s="432"/>
      <c r="D8" s="432"/>
      <c r="E8" s="432"/>
      <c r="F8" s="432"/>
      <c r="G8" s="433"/>
      <c r="H8" s="75">
        <f>SUM(H4:H7)</f>
        <v>471.83</v>
      </c>
    </row>
    <row r="9" spans="1:8" ht="15" customHeight="1" thickBot="1" x14ac:dyDescent="0.3">
      <c r="A9" s="434"/>
      <c r="B9" s="435"/>
      <c r="C9" s="435"/>
      <c r="D9" s="435"/>
      <c r="E9" s="435"/>
      <c r="F9" s="435"/>
      <c r="G9" s="435"/>
      <c r="H9" s="436"/>
    </row>
    <row r="10" spans="1:8" ht="15" customHeight="1" thickBot="1" x14ac:dyDescent="0.3">
      <c r="A10" s="428" t="s">
        <v>232</v>
      </c>
      <c r="B10" s="429"/>
      <c r="C10" s="429"/>
      <c r="D10" s="429"/>
      <c r="E10" s="429"/>
      <c r="F10" s="429"/>
      <c r="G10" s="429"/>
      <c r="H10" s="430"/>
    </row>
    <row r="11" spans="1:8" ht="30" customHeight="1" thickBot="1" x14ac:dyDescent="0.3">
      <c r="A11" s="104" t="s">
        <v>159</v>
      </c>
      <c r="B11" s="105" t="s">
        <v>231</v>
      </c>
      <c r="C11" s="105" t="s">
        <v>160</v>
      </c>
      <c r="D11" s="105" t="s">
        <v>279</v>
      </c>
      <c r="E11" s="105" t="s">
        <v>278</v>
      </c>
      <c r="F11" s="105" t="s">
        <v>162</v>
      </c>
      <c r="G11" s="105" t="s">
        <v>212</v>
      </c>
      <c r="H11" s="106" t="s">
        <v>165</v>
      </c>
    </row>
    <row r="12" spans="1:8" ht="350.1" customHeight="1" thickBot="1" x14ac:dyDescent="0.3">
      <c r="A12" s="62">
        <v>1</v>
      </c>
      <c r="B12" s="63" t="s">
        <v>267</v>
      </c>
      <c r="C12" s="56" t="s">
        <v>160</v>
      </c>
      <c r="D12" s="100">
        <v>1</v>
      </c>
      <c r="E12" s="101">
        <f>D12</f>
        <v>1</v>
      </c>
      <c r="F12" s="57">
        <f>(Equipamentos!G16*1%)</f>
        <v>3150</v>
      </c>
      <c r="G12" s="57">
        <f>F12*E12</f>
        <v>3150</v>
      </c>
      <c r="H12" s="58">
        <f>G12/12</f>
        <v>262.5</v>
      </c>
    </row>
    <row r="13" spans="1:8" ht="30" customHeight="1" thickBot="1" x14ac:dyDescent="0.3">
      <c r="A13" s="104" t="s">
        <v>159</v>
      </c>
      <c r="B13" s="105" t="s">
        <v>231</v>
      </c>
      <c r="C13" s="105" t="s">
        <v>160</v>
      </c>
      <c r="D13" s="105" t="s">
        <v>279</v>
      </c>
      <c r="E13" s="105" t="s">
        <v>278</v>
      </c>
      <c r="F13" s="105" t="s">
        <v>280</v>
      </c>
      <c r="G13" s="105" t="s">
        <v>212</v>
      </c>
      <c r="H13" s="106" t="s">
        <v>165</v>
      </c>
    </row>
    <row r="14" spans="1:8" ht="30" customHeight="1" x14ac:dyDescent="0.25">
      <c r="A14" s="107">
        <v>2</v>
      </c>
      <c r="B14" s="255" t="s">
        <v>281</v>
      </c>
      <c r="C14" s="100" t="s">
        <v>282</v>
      </c>
      <c r="D14" s="108">
        <v>3.5</v>
      </c>
      <c r="E14" s="108">
        <f>D14*12</f>
        <v>42</v>
      </c>
      <c r="F14" s="109">
        <v>27.66</v>
      </c>
      <c r="G14" s="109">
        <f>F14*E14</f>
        <v>1161.72</v>
      </c>
      <c r="H14" s="110">
        <f>G14/12</f>
        <v>96.81</v>
      </c>
    </row>
    <row r="15" spans="1:8" ht="30" customHeight="1" thickBot="1" x14ac:dyDescent="0.3">
      <c r="A15" s="111">
        <v>3</v>
      </c>
      <c r="B15" s="256" t="s">
        <v>283</v>
      </c>
      <c r="C15" s="56" t="s">
        <v>282</v>
      </c>
      <c r="D15" s="96">
        <v>3.5</v>
      </c>
      <c r="E15" s="96">
        <f>D15*12</f>
        <v>42</v>
      </c>
      <c r="F15" s="57">
        <v>34.79</v>
      </c>
      <c r="G15" s="57">
        <f>F15*E15</f>
        <v>1461.18</v>
      </c>
      <c r="H15" s="70">
        <f>G15/12</f>
        <v>121.77</v>
      </c>
    </row>
    <row r="16" spans="1:8" ht="15" customHeight="1" thickBot="1" x14ac:dyDescent="0.3">
      <c r="A16" s="422" t="s">
        <v>240</v>
      </c>
      <c r="B16" s="423"/>
      <c r="C16" s="423"/>
      <c r="D16" s="423"/>
      <c r="E16" s="423"/>
      <c r="F16" s="423"/>
      <c r="G16" s="424"/>
      <c r="H16" s="75">
        <f>SUM(H12:H15)</f>
        <v>481.08</v>
      </c>
    </row>
    <row r="17" spans="1:8" ht="15.75" thickBot="1" x14ac:dyDescent="0.3">
      <c r="A17" s="440"/>
      <c r="B17" s="441"/>
      <c r="C17" s="441"/>
      <c r="D17" s="441"/>
      <c r="E17" s="441"/>
      <c r="F17" s="441"/>
      <c r="G17" s="441"/>
      <c r="H17" s="442"/>
    </row>
    <row r="18" spans="1:8" ht="15.75" thickBot="1" x14ac:dyDescent="0.3">
      <c r="A18" s="443" t="s">
        <v>227</v>
      </c>
      <c r="B18" s="444"/>
      <c r="C18" s="444"/>
      <c r="D18" s="444"/>
      <c r="E18" s="444"/>
      <c r="F18" s="444"/>
      <c r="G18" s="445"/>
      <c r="H18" s="41">
        <f>H8/8</f>
        <v>58.98</v>
      </c>
    </row>
    <row r="19" spans="1:8" ht="15.75" thickBot="1" x14ac:dyDescent="0.3">
      <c r="A19" s="443" t="s">
        <v>259</v>
      </c>
      <c r="B19" s="444"/>
      <c r="C19" s="444"/>
      <c r="D19" s="444"/>
      <c r="E19" s="444"/>
      <c r="F19" s="444"/>
      <c r="G19" s="445"/>
      <c r="H19" s="41">
        <f>H8/8</f>
        <v>58.98</v>
      </c>
    </row>
    <row r="20" spans="1:8" ht="15.75" thickBot="1" x14ac:dyDescent="0.3">
      <c r="A20" s="443" t="s">
        <v>228</v>
      </c>
      <c r="B20" s="444"/>
      <c r="C20" s="444"/>
      <c r="D20" s="444"/>
      <c r="E20" s="444"/>
      <c r="F20" s="444"/>
      <c r="G20" s="445"/>
      <c r="H20" s="41">
        <f>H16/12</f>
        <v>40.090000000000003</v>
      </c>
    </row>
    <row r="21" spans="1:8" ht="15.75" thickBot="1" x14ac:dyDescent="0.3">
      <c r="A21" s="443" t="s">
        <v>260</v>
      </c>
      <c r="B21" s="444"/>
      <c r="C21" s="444"/>
      <c r="D21" s="444"/>
      <c r="E21" s="444"/>
      <c r="F21" s="444"/>
      <c r="G21" s="445"/>
      <c r="H21" s="41">
        <f>H16/12</f>
        <v>40.090000000000003</v>
      </c>
    </row>
    <row r="22" spans="1:8" ht="15.75" thickBot="1" x14ac:dyDescent="0.3">
      <c r="A22" s="437" t="s">
        <v>239</v>
      </c>
      <c r="B22" s="438"/>
      <c r="C22" s="438"/>
      <c r="D22" s="438"/>
      <c r="E22" s="438"/>
      <c r="F22" s="438"/>
      <c r="G22" s="438"/>
      <c r="H22" s="439"/>
    </row>
    <row r="23" spans="1:8" ht="15" customHeight="1" x14ac:dyDescent="0.25">
      <c r="A23" s="413" t="s">
        <v>307</v>
      </c>
      <c r="B23" s="414"/>
      <c r="C23" s="414"/>
      <c r="D23" s="414"/>
      <c r="E23" s="414"/>
      <c r="F23" s="414"/>
      <c r="G23" s="414"/>
      <c r="H23" s="415"/>
    </row>
    <row r="24" spans="1:8" x14ac:dyDescent="0.25">
      <c r="A24" s="416"/>
      <c r="B24" s="417"/>
      <c r="C24" s="417"/>
      <c r="D24" s="417"/>
      <c r="E24" s="417"/>
      <c r="F24" s="417"/>
      <c r="G24" s="417"/>
      <c r="H24" s="418"/>
    </row>
    <row r="25" spans="1:8" x14ac:dyDescent="0.25">
      <c r="A25" s="416"/>
      <c r="B25" s="417"/>
      <c r="C25" s="417"/>
      <c r="D25" s="417"/>
      <c r="E25" s="417"/>
      <c r="F25" s="417"/>
      <c r="G25" s="417"/>
      <c r="H25" s="418"/>
    </row>
    <row r="26" spans="1:8" x14ac:dyDescent="0.25">
      <c r="A26" s="416"/>
      <c r="B26" s="417"/>
      <c r="C26" s="417"/>
      <c r="D26" s="417"/>
      <c r="E26" s="417"/>
      <c r="F26" s="417"/>
      <c r="G26" s="417"/>
      <c r="H26" s="418"/>
    </row>
    <row r="27" spans="1:8" x14ac:dyDescent="0.25">
      <c r="A27" s="416"/>
      <c r="B27" s="417"/>
      <c r="C27" s="417"/>
      <c r="D27" s="417"/>
      <c r="E27" s="417"/>
      <c r="F27" s="417"/>
      <c r="G27" s="417"/>
      <c r="H27" s="418"/>
    </row>
    <row r="28" spans="1:8" ht="15.75" thickBot="1" x14ac:dyDescent="0.3">
      <c r="A28" s="419"/>
      <c r="B28" s="420"/>
      <c r="C28" s="420"/>
      <c r="D28" s="420"/>
      <c r="E28" s="420"/>
      <c r="F28" s="420"/>
      <c r="G28" s="420"/>
      <c r="H28" s="421"/>
    </row>
    <row r="29" spans="1:8" x14ac:dyDescent="0.25">
      <c r="A29" s="64"/>
      <c r="B29" s="64"/>
      <c r="C29" s="64"/>
      <c r="D29" s="64"/>
      <c r="E29" s="64"/>
      <c r="F29" s="64"/>
      <c r="G29" s="64"/>
      <c r="H29" s="64"/>
    </row>
    <row r="30" spans="1:8" x14ac:dyDescent="0.25">
      <c r="A30" s="64"/>
      <c r="B30" s="64"/>
      <c r="C30" s="64"/>
      <c r="D30" s="64"/>
      <c r="E30" s="64"/>
      <c r="F30" s="64"/>
      <c r="G30" s="64"/>
      <c r="H30" s="64"/>
    </row>
    <row r="31" spans="1:8" x14ac:dyDescent="0.25">
      <c r="A31" s="64"/>
      <c r="B31" s="64"/>
      <c r="C31" s="64"/>
      <c r="D31" s="64"/>
      <c r="E31" s="64"/>
      <c r="F31" s="64"/>
      <c r="G31" s="64"/>
      <c r="H31" s="64"/>
    </row>
  </sheetData>
  <mergeCells count="13">
    <mergeCell ref="A23:H28"/>
    <mergeCell ref="A16:G16"/>
    <mergeCell ref="A1:H1"/>
    <mergeCell ref="A2:H2"/>
    <mergeCell ref="A8:G8"/>
    <mergeCell ref="A9:H9"/>
    <mergeCell ref="A10:H10"/>
    <mergeCell ref="A22:H22"/>
    <mergeCell ref="A17:H17"/>
    <mergeCell ref="A18:G18"/>
    <mergeCell ref="A20:G20"/>
    <mergeCell ref="A19:G19"/>
    <mergeCell ref="A21:G21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view="pageBreakPreview" topLeftCell="A10" zoomScaleNormal="100" zoomScaleSheetLayoutView="100" workbookViewId="0">
      <selection activeCell="F6" sqref="F6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4" width="14.140625" customWidth="1"/>
    <col min="5" max="8" width="20.7109375" customWidth="1"/>
  </cols>
  <sheetData>
    <row r="1" spans="1:8" ht="15" customHeight="1" thickBot="1" x14ac:dyDescent="0.3">
      <c r="A1" s="425" t="s">
        <v>163</v>
      </c>
      <c r="B1" s="426"/>
      <c r="C1" s="426"/>
      <c r="D1" s="426"/>
      <c r="E1" s="426"/>
      <c r="F1" s="426"/>
      <c r="G1" s="426"/>
      <c r="H1" s="427"/>
    </row>
    <row r="2" spans="1:8" ht="15" customHeight="1" x14ac:dyDescent="0.25">
      <c r="A2" s="448" t="s">
        <v>238</v>
      </c>
      <c r="B2" s="449"/>
      <c r="C2" s="449"/>
      <c r="D2" s="449"/>
      <c r="E2" s="449"/>
      <c r="F2" s="449"/>
      <c r="G2" s="449"/>
      <c r="H2" s="450"/>
    </row>
    <row r="3" spans="1:8" ht="45" customHeight="1" x14ac:dyDescent="0.25">
      <c r="A3" s="49">
        <v>1</v>
      </c>
      <c r="B3" s="50" t="s">
        <v>234</v>
      </c>
      <c r="C3" s="40">
        <v>1</v>
      </c>
      <c r="D3" s="42">
        <v>12</v>
      </c>
      <c r="E3" s="40">
        <v>12</v>
      </c>
      <c r="F3" s="47">
        <f>F7*5%</f>
        <v>15195</v>
      </c>
      <c r="G3" s="47">
        <f>F3*C3</f>
        <v>15195</v>
      </c>
      <c r="H3" s="48">
        <f>G3/12</f>
        <v>1266.25</v>
      </c>
    </row>
    <row r="4" spans="1:8" ht="15" customHeight="1" x14ac:dyDescent="0.25">
      <c r="A4" s="45"/>
      <c r="B4" s="43" t="s">
        <v>235</v>
      </c>
      <c r="C4" s="43"/>
      <c r="D4" s="43"/>
      <c r="E4" s="43"/>
      <c r="F4" s="71"/>
      <c r="G4" s="71"/>
      <c r="H4" s="72"/>
    </row>
    <row r="5" spans="1:8" ht="140.1" customHeight="1" x14ac:dyDescent="0.25">
      <c r="A5" s="49">
        <v>1</v>
      </c>
      <c r="B5" s="257" t="s">
        <v>236</v>
      </c>
      <c r="C5" s="40">
        <v>1</v>
      </c>
      <c r="D5" s="42">
        <v>12</v>
      </c>
      <c r="E5" s="40">
        <v>12</v>
      </c>
      <c r="F5" s="47">
        <f>F7*10%</f>
        <v>30390</v>
      </c>
      <c r="G5" s="47">
        <f>F5*C5</f>
        <v>30390</v>
      </c>
      <c r="H5" s="48">
        <f>G5/12</f>
        <v>2532.5</v>
      </c>
    </row>
    <row r="6" spans="1:8" ht="15" customHeight="1" x14ac:dyDescent="0.25">
      <c r="A6" s="45" t="s">
        <v>159</v>
      </c>
      <c r="B6" s="44" t="s">
        <v>179</v>
      </c>
      <c r="C6" s="43" t="s">
        <v>160</v>
      </c>
      <c r="D6" s="43" t="s">
        <v>161</v>
      </c>
      <c r="E6" s="43" t="s">
        <v>164</v>
      </c>
      <c r="F6" s="71" t="s">
        <v>162</v>
      </c>
      <c r="G6" s="71" t="s">
        <v>212</v>
      </c>
      <c r="H6" s="72" t="s">
        <v>165</v>
      </c>
    </row>
    <row r="7" spans="1:8" ht="15" customHeight="1" thickBot="1" x14ac:dyDescent="0.3">
      <c r="A7" s="65">
        <v>1</v>
      </c>
      <c r="B7" s="258" t="s">
        <v>180</v>
      </c>
      <c r="C7" s="66" t="s">
        <v>160</v>
      </c>
      <c r="D7" s="67">
        <v>1</v>
      </c>
      <c r="E7" s="66">
        <v>60</v>
      </c>
      <c r="F7" s="68">
        <v>303900</v>
      </c>
      <c r="G7" s="69">
        <f>F7*D7</f>
        <v>303900</v>
      </c>
      <c r="H7" s="70">
        <f>(G7/E7)</f>
        <v>5065</v>
      </c>
    </row>
    <row r="8" spans="1:8" ht="15" customHeight="1" thickBot="1" x14ac:dyDescent="0.3">
      <c r="A8" s="422" t="s">
        <v>240</v>
      </c>
      <c r="B8" s="423"/>
      <c r="C8" s="423"/>
      <c r="D8" s="423"/>
      <c r="E8" s="423"/>
      <c r="F8" s="423"/>
      <c r="G8" s="423"/>
      <c r="H8" s="75">
        <f>SUM(H3:H7)</f>
        <v>8863.75</v>
      </c>
    </row>
    <row r="9" spans="1:8" ht="15" customHeight="1" thickBot="1" x14ac:dyDescent="0.3">
      <c r="A9" s="454"/>
      <c r="B9" s="455"/>
      <c r="C9" s="455"/>
      <c r="D9" s="455"/>
      <c r="E9" s="455"/>
      <c r="F9" s="455"/>
      <c r="G9" s="455"/>
      <c r="H9" s="456"/>
    </row>
    <row r="10" spans="1:8" ht="15" customHeight="1" x14ac:dyDescent="0.25">
      <c r="A10" s="451" t="s">
        <v>237</v>
      </c>
      <c r="B10" s="452"/>
      <c r="C10" s="452"/>
      <c r="D10" s="452"/>
      <c r="E10" s="452"/>
      <c r="F10" s="452"/>
      <c r="G10" s="452"/>
      <c r="H10" s="453"/>
    </row>
    <row r="11" spans="1:8" ht="15" customHeight="1" x14ac:dyDescent="0.25">
      <c r="A11" s="45" t="s">
        <v>159</v>
      </c>
      <c r="B11" s="43" t="s">
        <v>233</v>
      </c>
      <c r="C11" s="43" t="s">
        <v>160</v>
      </c>
      <c r="D11" s="43" t="s">
        <v>161</v>
      </c>
      <c r="E11" s="43" t="s">
        <v>164</v>
      </c>
      <c r="F11" s="43" t="s">
        <v>162</v>
      </c>
      <c r="G11" s="43" t="s">
        <v>212</v>
      </c>
      <c r="H11" s="46" t="s">
        <v>165</v>
      </c>
    </row>
    <row r="12" spans="1:8" ht="45" customHeight="1" x14ac:dyDescent="0.25">
      <c r="A12" s="49">
        <v>1</v>
      </c>
      <c r="B12" s="50" t="s">
        <v>234</v>
      </c>
      <c r="C12" s="40">
        <v>1</v>
      </c>
      <c r="D12" s="42">
        <v>12</v>
      </c>
      <c r="E12" s="40">
        <v>12</v>
      </c>
      <c r="F12" s="47">
        <f>F16*5%</f>
        <v>15750</v>
      </c>
      <c r="G12" s="47">
        <f>F12*C12</f>
        <v>15750</v>
      </c>
      <c r="H12" s="48">
        <f>G12/12</f>
        <v>1312.5</v>
      </c>
    </row>
    <row r="13" spans="1:8" x14ac:dyDescent="0.25">
      <c r="A13" s="45"/>
      <c r="B13" s="43" t="s">
        <v>235</v>
      </c>
      <c r="C13" s="43"/>
      <c r="D13" s="43"/>
      <c r="E13" s="43"/>
      <c r="F13" s="71"/>
      <c r="G13" s="71"/>
      <c r="H13" s="72"/>
    </row>
    <row r="14" spans="1:8" ht="135" x14ac:dyDescent="0.25">
      <c r="A14" s="49">
        <v>1</v>
      </c>
      <c r="B14" s="257" t="s">
        <v>236</v>
      </c>
      <c r="C14" s="40">
        <v>1</v>
      </c>
      <c r="D14" s="42">
        <v>12</v>
      </c>
      <c r="E14" s="40">
        <v>12</v>
      </c>
      <c r="F14" s="47">
        <f>F16*10%</f>
        <v>31500</v>
      </c>
      <c r="G14" s="47">
        <f>F14*C14</f>
        <v>31500</v>
      </c>
      <c r="H14" s="48">
        <f>G14/12</f>
        <v>2625</v>
      </c>
    </row>
    <row r="15" spans="1:8" x14ac:dyDescent="0.25">
      <c r="A15" s="45" t="s">
        <v>159</v>
      </c>
      <c r="B15" s="44" t="s">
        <v>179</v>
      </c>
      <c r="C15" s="43" t="s">
        <v>160</v>
      </c>
      <c r="D15" s="43" t="s">
        <v>161</v>
      </c>
      <c r="E15" s="43" t="s">
        <v>164</v>
      </c>
      <c r="F15" s="71" t="s">
        <v>162</v>
      </c>
      <c r="G15" s="71" t="s">
        <v>212</v>
      </c>
      <c r="H15" s="72" t="s">
        <v>165</v>
      </c>
    </row>
    <row r="16" spans="1:8" ht="15.75" thickBot="1" x14ac:dyDescent="0.3">
      <c r="A16" s="65">
        <v>1</v>
      </c>
      <c r="B16" s="258" t="s">
        <v>226</v>
      </c>
      <c r="C16" s="66" t="s">
        <v>160</v>
      </c>
      <c r="D16" s="67">
        <v>1</v>
      </c>
      <c r="E16" s="66">
        <v>60</v>
      </c>
      <c r="F16" s="68">
        <v>315000</v>
      </c>
      <c r="G16" s="69">
        <f>F16*D16</f>
        <v>315000</v>
      </c>
      <c r="H16" s="70">
        <f>(G16/E16)</f>
        <v>5250</v>
      </c>
    </row>
    <row r="17" spans="1:8" ht="15.75" thickBot="1" x14ac:dyDescent="0.3">
      <c r="A17" s="422" t="s">
        <v>240</v>
      </c>
      <c r="B17" s="423"/>
      <c r="C17" s="423"/>
      <c r="D17" s="423"/>
      <c r="E17" s="423"/>
      <c r="F17" s="423"/>
      <c r="G17" s="458"/>
      <c r="H17" s="76">
        <f>SUM(H12:H16)</f>
        <v>9187.5</v>
      </c>
    </row>
    <row r="18" spans="1:8" ht="15.75" thickBot="1" x14ac:dyDescent="0.3">
      <c r="A18" s="457"/>
      <c r="B18" s="402"/>
      <c r="C18" s="402"/>
      <c r="D18" s="402"/>
      <c r="E18" s="402"/>
      <c r="F18" s="402"/>
      <c r="G18" s="402"/>
      <c r="H18" s="403"/>
    </row>
    <row r="19" spans="1:8" ht="15.75" thickBot="1" x14ac:dyDescent="0.3">
      <c r="A19" s="443" t="s">
        <v>227</v>
      </c>
      <c r="B19" s="444"/>
      <c r="C19" s="444"/>
      <c r="D19" s="444"/>
      <c r="E19" s="444"/>
      <c r="F19" s="444"/>
      <c r="G19" s="445"/>
      <c r="H19" s="41">
        <f>H8/8</f>
        <v>1107.97</v>
      </c>
    </row>
    <row r="20" spans="1:8" ht="15.75" thickBot="1" x14ac:dyDescent="0.3">
      <c r="A20" s="443" t="s">
        <v>259</v>
      </c>
      <c r="B20" s="444"/>
      <c r="C20" s="444"/>
      <c r="D20" s="444"/>
      <c r="E20" s="444"/>
      <c r="F20" s="444"/>
      <c r="G20" s="445"/>
      <c r="H20" s="41">
        <f>H8/8</f>
        <v>1107.97</v>
      </c>
    </row>
    <row r="21" spans="1:8" ht="15.75" thickBot="1" x14ac:dyDescent="0.3">
      <c r="A21" s="443" t="s">
        <v>228</v>
      </c>
      <c r="B21" s="444"/>
      <c r="C21" s="444"/>
      <c r="D21" s="444"/>
      <c r="E21" s="444"/>
      <c r="F21" s="444"/>
      <c r="G21" s="445"/>
      <c r="H21" s="41">
        <f>H17/12</f>
        <v>765.63</v>
      </c>
    </row>
    <row r="22" spans="1:8" ht="15.75" thickBot="1" x14ac:dyDescent="0.3">
      <c r="A22" s="443" t="s">
        <v>260</v>
      </c>
      <c r="B22" s="444"/>
      <c r="C22" s="444"/>
      <c r="D22" s="444"/>
      <c r="E22" s="444"/>
      <c r="F22" s="444"/>
      <c r="G22" s="445"/>
      <c r="H22" s="41">
        <f>H17/12</f>
        <v>765.63</v>
      </c>
    </row>
    <row r="23" spans="1:8" ht="15.75" thickBot="1" x14ac:dyDescent="0.3">
      <c r="A23" s="401" t="s">
        <v>239</v>
      </c>
      <c r="B23" s="446"/>
      <c r="C23" s="446"/>
      <c r="D23" s="446"/>
      <c r="E23" s="446"/>
      <c r="F23" s="446"/>
      <c r="G23" s="446"/>
      <c r="H23" s="447"/>
    </row>
    <row r="24" spans="1:8" ht="15" customHeight="1" x14ac:dyDescent="0.25">
      <c r="A24" s="404" t="s">
        <v>308</v>
      </c>
      <c r="B24" s="405"/>
      <c r="C24" s="405"/>
      <c r="D24" s="405"/>
      <c r="E24" s="405"/>
      <c r="F24" s="405"/>
      <c r="G24" s="405"/>
      <c r="H24" s="406"/>
    </row>
    <row r="25" spans="1:8" x14ac:dyDescent="0.25">
      <c r="A25" s="407"/>
      <c r="B25" s="408"/>
      <c r="C25" s="408"/>
      <c r="D25" s="408"/>
      <c r="E25" s="408"/>
      <c r="F25" s="408"/>
      <c r="G25" s="408"/>
      <c r="H25" s="409"/>
    </row>
    <row r="26" spans="1:8" x14ac:dyDescent="0.25">
      <c r="A26" s="407"/>
      <c r="B26" s="408"/>
      <c r="C26" s="408"/>
      <c r="D26" s="408"/>
      <c r="E26" s="408"/>
      <c r="F26" s="408"/>
      <c r="G26" s="408"/>
      <c r="H26" s="409"/>
    </row>
    <row r="27" spans="1:8" x14ac:dyDescent="0.25">
      <c r="A27" s="407"/>
      <c r="B27" s="408"/>
      <c r="C27" s="408"/>
      <c r="D27" s="408"/>
      <c r="E27" s="408"/>
      <c r="F27" s="408"/>
      <c r="G27" s="408"/>
      <c r="H27" s="409"/>
    </row>
    <row r="28" spans="1:8" x14ac:dyDescent="0.25">
      <c r="A28" s="407"/>
      <c r="B28" s="408"/>
      <c r="C28" s="408"/>
      <c r="D28" s="408"/>
      <c r="E28" s="408"/>
      <c r="F28" s="408"/>
      <c r="G28" s="408"/>
      <c r="H28" s="409"/>
    </row>
    <row r="29" spans="1:8" x14ac:dyDescent="0.25">
      <c r="A29" s="407"/>
      <c r="B29" s="408"/>
      <c r="C29" s="408"/>
      <c r="D29" s="408"/>
      <c r="E29" s="408"/>
      <c r="F29" s="408"/>
      <c r="G29" s="408"/>
      <c r="H29" s="409"/>
    </row>
    <row r="30" spans="1:8" x14ac:dyDescent="0.25">
      <c r="A30" s="407"/>
      <c r="B30" s="408"/>
      <c r="C30" s="408"/>
      <c r="D30" s="408"/>
      <c r="E30" s="408"/>
      <c r="F30" s="408"/>
      <c r="G30" s="408"/>
      <c r="H30" s="409"/>
    </row>
    <row r="31" spans="1:8" x14ac:dyDescent="0.25">
      <c r="A31" s="407"/>
      <c r="B31" s="408"/>
      <c r="C31" s="408"/>
      <c r="D31" s="408"/>
      <c r="E31" s="408"/>
      <c r="F31" s="408"/>
      <c r="G31" s="408"/>
      <c r="H31" s="409"/>
    </row>
    <row r="32" spans="1:8" x14ac:dyDescent="0.25">
      <c r="A32" s="407"/>
      <c r="B32" s="408"/>
      <c r="C32" s="408"/>
      <c r="D32" s="408"/>
      <c r="E32" s="408"/>
      <c r="F32" s="408"/>
      <c r="G32" s="408"/>
      <c r="H32" s="409"/>
    </row>
    <row r="33" spans="1:8" x14ac:dyDescent="0.25">
      <c r="A33" s="407"/>
      <c r="B33" s="408"/>
      <c r="C33" s="408"/>
      <c r="D33" s="408"/>
      <c r="E33" s="408"/>
      <c r="F33" s="408"/>
      <c r="G33" s="408"/>
      <c r="H33" s="409"/>
    </row>
    <row r="34" spans="1:8" x14ac:dyDescent="0.25">
      <c r="A34" s="407"/>
      <c r="B34" s="408"/>
      <c r="C34" s="408"/>
      <c r="D34" s="408"/>
      <c r="E34" s="408"/>
      <c r="F34" s="408"/>
      <c r="G34" s="408"/>
      <c r="H34" s="409"/>
    </row>
    <row r="35" spans="1:8" x14ac:dyDescent="0.25">
      <c r="A35" s="407"/>
      <c r="B35" s="408"/>
      <c r="C35" s="408"/>
      <c r="D35" s="408"/>
      <c r="E35" s="408"/>
      <c r="F35" s="408"/>
      <c r="G35" s="408"/>
      <c r="H35" s="409"/>
    </row>
    <row r="36" spans="1:8" ht="15.75" thickBot="1" x14ac:dyDescent="0.3">
      <c r="A36" s="410"/>
      <c r="B36" s="411"/>
      <c r="C36" s="411"/>
      <c r="D36" s="411"/>
      <c r="E36" s="411"/>
      <c r="F36" s="411"/>
      <c r="G36" s="411"/>
      <c r="H36" s="412"/>
    </row>
  </sheetData>
  <mergeCells count="13">
    <mergeCell ref="A24:H36"/>
    <mergeCell ref="A23:H23"/>
    <mergeCell ref="A1:H1"/>
    <mergeCell ref="A2:H2"/>
    <mergeCell ref="A22:G22"/>
    <mergeCell ref="A21:G21"/>
    <mergeCell ref="A20:G20"/>
    <mergeCell ref="A19:G19"/>
    <mergeCell ref="A10:H10"/>
    <mergeCell ref="A9:H9"/>
    <mergeCell ref="A18:H18"/>
    <mergeCell ref="A8:G8"/>
    <mergeCell ref="A17:G17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287" t="s">
        <v>92</v>
      </c>
      <c r="B1" s="287"/>
    </row>
    <row r="2" spans="1:2" ht="19.5" thickBot="1" x14ac:dyDescent="0.35">
      <c r="A2" s="21" t="s">
        <v>93</v>
      </c>
      <c r="B2" s="21" t="s">
        <v>94</v>
      </c>
    </row>
    <row r="3" spans="1:2" ht="19.5" thickBot="1" x14ac:dyDescent="0.35">
      <c r="A3" s="22" t="s">
        <v>95</v>
      </c>
      <c r="B3" s="23" t="s">
        <v>96</v>
      </c>
    </row>
    <row r="4" spans="1:2" ht="57" thickBot="1" x14ac:dyDescent="0.35">
      <c r="A4" s="24" t="s">
        <v>97</v>
      </c>
      <c r="B4" s="25" t="s">
        <v>98</v>
      </c>
    </row>
    <row r="5" spans="1:2" ht="19.5" thickBot="1" x14ac:dyDescent="0.35">
      <c r="A5" s="24" t="s">
        <v>99</v>
      </c>
      <c r="B5" s="25" t="s">
        <v>100</v>
      </c>
    </row>
    <row r="6" spans="1:2" ht="94.5" thickBot="1" x14ac:dyDescent="0.35">
      <c r="A6" s="24" t="s">
        <v>101</v>
      </c>
      <c r="B6" s="25" t="s">
        <v>102</v>
      </c>
    </row>
    <row r="7" spans="1:2" ht="38.25" thickBot="1" x14ac:dyDescent="0.35">
      <c r="A7" s="24" t="s">
        <v>103</v>
      </c>
      <c r="B7" s="25" t="s">
        <v>104</v>
      </c>
    </row>
    <row r="8" spans="1:2" ht="19.5" thickBot="1" x14ac:dyDescent="0.35">
      <c r="A8" s="24" t="s">
        <v>105</v>
      </c>
      <c r="B8" s="25" t="s">
        <v>106</v>
      </c>
    </row>
    <row r="9" spans="1:2" ht="38.25" thickBot="1" x14ac:dyDescent="0.35">
      <c r="A9" s="24" t="s">
        <v>107</v>
      </c>
      <c r="B9" s="25" t="s">
        <v>108</v>
      </c>
    </row>
    <row r="10" spans="1:2" ht="57" thickBot="1" x14ac:dyDescent="0.35">
      <c r="A10" s="24" t="s">
        <v>109</v>
      </c>
      <c r="B10" s="25" t="s">
        <v>110</v>
      </c>
    </row>
    <row r="11" spans="1:2" ht="75.75" thickBot="1" x14ac:dyDescent="0.35">
      <c r="A11" s="24" t="s">
        <v>111</v>
      </c>
      <c r="B11" s="25" t="s">
        <v>112</v>
      </c>
    </row>
    <row r="12" spans="1:2" ht="57" thickBot="1" x14ac:dyDescent="0.35">
      <c r="A12" s="24" t="s">
        <v>109</v>
      </c>
      <c r="B12" s="25" t="s">
        <v>113</v>
      </c>
    </row>
    <row r="13" spans="1:2" ht="38.25" thickBot="1" x14ac:dyDescent="0.35">
      <c r="A13" s="24" t="s">
        <v>109</v>
      </c>
      <c r="B13" s="25" t="s">
        <v>114</v>
      </c>
    </row>
    <row r="14" spans="1:2" ht="57" thickBot="1" x14ac:dyDescent="0.35">
      <c r="A14" s="24" t="s">
        <v>109</v>
      </c>
      <c r="B14" s="25" t="s">
        <v>115</v>
      </c>
    </row>
    <row r="15" spans="1:2" ht="19.5" thickBot="1" x14ac:dyDescent="0.35">
      <c r="A15" s="24" t="s">
        <v>109</v>
      </c>
      <c r="B15" s="25" t="s">
        <v>116</v>
      </c>
    </row>
    <row r="16" spans="1:2" ht="38.25" thickBot="1" x14ac:dyDescent="0.35">
      <c r="A16" s="24" t="s">
        <v>117</v>
      </c>
      <c r="B16" s="25" t="s">
        <v>118</v>
      </c>
    </row>
    <row r="17" spans="1:2" ht="38.25" thickBot="1" x14ac:dyDescent="0.35">
      <c r="A17" s="24" t="s">
        <v>119</v>
      </c>
      <c r="B17" s="25" t="s">
        <v>120</v>
      </c>
    </row>
    <row r="18" spans="1:2" ht="38.25" thickBot="1" x14ac:dyDescent="0.35">
      <c r="A18" s="24" t="s">
        <v>109</v>
      </c>
      <c r="B18" s="25" t="s">
        <v>121</v>
      </c>
    </row>
    <row r="19" spans="1:2" ht="57" thickBot="1" x14ac:dyDescent="0.35">
      <c r="A19" s="24" t="s">
        <v>109</v>
      </c>
      <c r="B19" s="25" t="s">
        <v>122</v>
      </c>
    </row>
    <row r="20" spans="1:2" ht="38.25" thickBot="1" x14ac:dyDescent="0.35">
      <c r="A20" s="24" t="s">
        <v>109</v>
      </c>
      <c r="B20" s="25" t="s">
        <v>123</v>
      </c>
    </row>
    <row r="21" spans="1:2" ht="57" thickBot="1" x14ac:dyDescent="0.35">
      <c r="A21" s="24" t="s">
        <v>109</v>
      </c>
      <c r="B21" s="25" t="s">
        <v>124</v>
      </c>
    </row>
    <row r="22" spans="1:2" x14ac:dyDescent="0.3">
      <c r="A22" s="26" t="s">
        <v>109</v>
      </c>
      <c r="B22" s="27" t="s">
        <v>125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view="pageBreakPreview" topLeftCell="A10" zoomScale="80" zoomScaleNormal="80" zoomScaleSheetLayoutView="80" workbookViewId="0">
      <selection activeCell="D28" sqref="D28"/>
    </sheetView>
  </sheetViews>
  <sheetFormatPr defaultRowHeight="12.75" x14ac:dyDescent="0.25"/>
  <cols>
    <col min="1" max="1" width="10.7109375" style="53" customWidth="1"/>
    <col min="2" max="2" width="60.7109375" style="53" customWidth="1"/>
    <col min="3" max="8" width="20.7109375" style="53" customWidth="1"/>
    <col min="9" max="9" width="15.5703125" style="53" bestFit="1" customWidth="1"/>
    <col min="10" max="16384" width="9.140625" style="53"/>
  </cols>
  <sheetData>
    <row r="1" spans="1:9" ht="20.100000000000001" customHeight="1" thickBot="1" x14ac:dyDescent="0.3">
      <c r="A1" s="288" t="s">
        <v>242</v>
      </c>
      <c r="B1" s="289"/>
      <c r="C1" s="289"/>
      <c r="D1" s="289"/>
      <c r="E1" s="289"/>
      <c r="F1" s="289"/>
      <c r="G1" s="289"/>
      <c r="H1" s="290"/>
    </row>
    <row r="2" spans="1:9" ht="45" customHeight="1" x14ac:dyDescent="0.25">
      <c r="A2" s="141" t="s">
        <v>243</v>
      </c>
      <c r="B2" s="142" t="s">
        <v>244</v>
      </c>
      <c r="C2" s="143" t="s">
        <v>268</v>
      </c>
      <c r="D2" s="91" t="s">
        <v>245</v>
      </c>
      <c r="E2" s="143" t="s">
        <v>246</v>
      </c>
      <c r="F2" s="142" t="s">
        <v>247</v>
      </c>
      <c r="G2" s="142" t="s">
        <v>269</v>
      </c>
      <c r="H2" s="144" t="s">
        <v>270</v>
      </c>
    </row>
    <row r="3" spans="1:9" ht="150" customHeight="1" x14ac:dyDescent="0.25">
      <c r="A3" s="61">
        <v>1</v>
      </c>
      <c r="B3" s="93" t="s">
        <v>277</v>
      </c>
      <c r="C3" s="60" t="s">
        <v>271</v>
      </c>
      <c r="D3" s="60" t="s">
        <v>274</v>
      </c>
      <c r="E3" s="59">
        <v>1</v>
      </c>
      <c r="F3" s="73">
        <f>('Motorista - Diurno'!D111+'Motorista - Noturno'!D112+'Técnico de Enfermagem - Diurno'!D112+'Técnico de Enfermagem - Noturno'!D112)*2</f>
        <v>100601.18</v>
      </c>
      <c r="G3" s="73">
        <f>F3*E3</f>
        <v>100601.18</v>
      </c>
      <c r="H3" s="74">
        <f>G3*12</f>
        <v>1207214.1599999999</v>
      </c>
    </row>
    <row r="4" spans="1:9" ht="150" customHeight="1" x14ac:dyDescent="0.25">
      <c r="A4" s="61">
        <v>2</v>
      </c>
      <c r="B4" s="120" t="s">
        <v>298</v>
      </c>
      <c r="C4" s="60" t="s">
        <v>271</v>
      </c>
      <c r="D4" s="60" t="s">
        <v>274</v>
      </c>
      <c r="E4" s="59">
        <v>1</v>
      </c>
      <c r="F4" s="73">
        <f>('Motorista - Diurno'!F111+'Motorista - Noturno'!F112+'Enfermeiro - Diurno'!D111+'Enfermeiro - Noturno'!D112+'Médico - Diurno '!D111+'Médico - Noturno'!D111)*2</f>
        <v>304537.65999999997</v>
      </c>
      <c r="G4" s="73">
        <f>F4*E4</f>
        <v>304537.65999999997</v>
      </c>
      <c r="H4" s="74">
        <f>G4*12</f>
        <v>3654451.92</v>
      </c>
    </row>
    <row r="5" spans="1:9" ht="150" customHeight="1" x14ac:dyDescent="0.25">
      <c r="A5" s="61">
        <v>3</v>
      </c>
      <c r="B5" s="93" t="s">
        <v>273</v>
      </c>
      <c r="C5" s="60" t="s">
        <v>271</v>
      </c>
      <c r="D5" s="60" t="s">
        <v>274</v>
      </c>
      <c r="E5" s="59">
        <v>2</v>
      </c>
      <c r="F5" s="73">
        <f>('Motorista - Diurno'!E111+'Motorista - Noturno'!E112+'Técnico de Enfermagem - Diurno'!E112+'Técnico de Enfermagem - Noturno'!E112)*2</f>
        <v>102148.6</v>
      </c>
      <c r="G5" s="73">
        <f>F5*E5</f>
        <v>204297.2</v>
      </c>
      <c r="H5" s="74">
        <f>G5*12</f>
        <v>2451566.4</v>
      </c>
    </row>
    <row r="6" spans="1:9" ht="150" customHeight="1" thickBot="1" x14ac:dyDescent="0.3">
      <c r="A6" s="85">
        <v>4</v>
      </c>
      <c r="B6" s="92" t="s">
        <v>272</v>
      </c>
      <c r="C6" s="86" t="s">
        <v>271</v>
      </c>
      <c r="D6" s="60" t="s">
        <v>274</v>
      </c>
      <c r="E6" s="87">
        <v>2</v>
      </c>
      <c r="F6" s="88">
        <f>('Motorista - Diurno'!G111+'Motorista - Noturno'!G112+'Enfermeiro - Diurno'!E111+'Enfermeiro - Noturno'!E112+'Médico - Diurno '!E111+'Médico - Noturno'!E111)*2</f>
        <v>305311.38</v>
      </c>
      <c r="G6" s="88">
        <f>F6*E6</f>
        <v>610622.76</v>
      </c>
      <c r="H6" s="89">
        <f t="shared" ref="H6" si="0">G6*12</f>
        <v>7327473.1200000001</v>
      </c>
    </row>
    <row r="7" spans="1:9" ht="15" customHeight="1" thickBot="1" x14ac:dyDescent="0.3">
      <c r="A7" s="301" t="s">
        <v>258</v>
      </c>
      <c r="B7" s="302"/>
      <c r="C7" s="302"/>
      <c r="D7" s="302"/>
      <c r="E7" s="302"/>
      <c r="F7" s="302"/>
      <c r="G7" s="302"/>
      <c r="H7" s="90">
        <f>SUM(H3:H6)</f>
        <v>14640705.6</v>
      </c>
    </row>
    <row r="8" spans="1:9" ht="15.75" thickBot="1" x14ac:dyDescent="0.3">
      <c r="A8" s="138"/>
      <c r="B8" s="139"/>
      <c r="C8" s="139"/>
      <c r="D8" s="139"/>
      <c r="E8" s="139"/>
      <c r="F8" s="139"/>
      <c r="G8" s="139"/>
      <c r="H8" s="140"/>
    </row>
    <row r="9" spans="1:9" ht="20.100000000000001" customHeight="1" thickBot="1" x14ac:dyDescent="0.3">
      <c r="A9" s="294" t="s">
        <v>242</v>
      </c>
      <c r="B9" s="295"/>
      <c r="C9" s="295"/>
      <c r="D9" s="295"/>
      <c r="E9" s="295"/>
      <c r="F9" s="295"/>
      <c r="G9" s="295"/>
      <c r="H9" s="296"/>
    </row>
    <row r="10" spans="1:9" ht="45" x14ac:dyDescent="0.25">
      <c r="A10" s="297" t="s">
        <v>167</v>
      </c>
      <c r="B10" s="298"/>
      <c r="C10" s="142" t="s">
        <v>168</v>
      </c>
      <c r="D10" s="142" t="s">
        <v>169</v>
      </c>
      <c r="E10" s="142" t="s">
        <v>170</v>
      </c>
      <c r="F10" s="142" t="s">
        <v>171</v>
      </c>
      <c r="G10" s="142" t="s">
        <v>172</v>
      </c>
      <c r="H10" s="144" t="s">
        <v>173</v>
      </c>
    </row>
    <row r="11" spans="1:9" ht="15.75" thickBot="1" x14ac:dyDescent="0.3">
      <c r="A11" s="299" t="s">
        <v>174</v>
      </c>
      <c r="B11" s="300"/>
      <c r="C11" s="121" t="s">
        <v>175</v>
      </c>
      <c r="D11" s="121" t="s">
        <v>176</v>
      </c>
      <c r="E11" s="122" t="s">
        <v>214</v>
      </c>
      <c r="F11" s="122" t="s">
        <v>215</v>
      </c>
      <c r="G11" s="51" t="s">
        <v>177</v>
      </c>
      <c r="H11" s="52" t="s">
        <v>213</v>
      </c>
    </row>
    <row r="12" spans="1:9" ht="15.75" thickBot="1" x14ac:dyDescent="0.3">
      <c r="A12" s="306" t="s">
        <v>181</v>
      </c>
      <c r="B12" s="307"/>
      <c r="C12" s="307"/>
      <c r="D12" s="307"/>
      <c r="E12" s="307"/>
      <c r="F12" s="307"/>
      <c r="G12" s="307"/>
      <c r="H12" s="308"/>
    </row>
    <row r="13" spans="1:9" ht="15" x14ac:dyDescent="0.25">
      <c r="A13" s="291">
        <v>1</v>
      </c>
      <c r="B13" s="55" t="s">
        <v>275</v>
      </c>
      <c r="C13" s="123">
        <f>'Motorista - Diurno'!D111</f>
        <v>12256.98</v>
      </c>
      <c r="D13" s="124">
        <v>2</v>
      </c>
      <c r="E13" s="125">
        <v>1</v>
      </c>
      <c r="F13" s="126">
        <f>C13*D13</f>
        <v>24513.96</v>
      </c>
      <c r="G13" s="126">
        <f>F13*E13</f>
        <v>24513.96</v>
      </c>
      <c r="H13" s="127">
        <f>G13*12</f>
        <v>294167.52</v>
      </c>
      <c r="I13" s="95"/>
    </row>
    <row r="14" spans="1:9" ht="15" x14ac:dyDescent="0.25">
      <c r="A14" s="292"/>
      <c r="B14" s="54" t="s">
        <v>276</v>
      </c>
      <c r="C14" s="128">
        <f>'Motorista - Noturno'!D112</f>
        <v>13330.04</v>
      </c>
      <c r="D14" s="129">
        <v>2</v>
      </c>
      <c r="E14" s="130">
        <v>1</v>
      </c>
      <c r="F14" s="131">
        <f>C14*D14</f>
        <v>26660.080000000002</v>
      </c>
      <c r="G14" s="131">
        <f>F14*E14</f>
        <v>26660.080000000002</v>
      </c>
      <c r="H14" s="132">
        <f>G14*12</f>
        <v>319920.96000000002</v>
      </c>
    </row>
    <row r="15" spans="1:9" ht="15" x14ac:dyDescent="0.25">
      <c r="A15" s="292"/>
      <c r="B15" s="54" t="s">
        <v>222</v>
      </c>
      <c r="C15" s="131">
        <f>'Técnico de Enfermagem - Diurno'!D112</f>
        <v>11843.14</v>
      </c>
      <c r="D15" s="129">
        <v>2</v>
      </c>
      <c r="E15" s="130">
        <v>1</v>
      </c>
      <c r="F15" s="131">
        <f>C15*D15</f>
        <v>23686.28</v>
      </c>
      <c r="G15" s="131">
        <f>F15*E15</f>
        <v>23686.28</v>
      </c>
      <c r="H15" s="132">
        <f>G15*12</f>
        <v>284235.36</v>
      </c>
    </row>
    <row r="16" spans="1:9" ht="15.75" thickBot="1" x14ac:dyDescent="0.3">
      <c r="A16" s="293"/>
      <c r="B16" s="78" t="s">
        <v>221</v>
      </c>
      <c r="C16" s="133">
        <f>'Técnico de Enfermagem - Noturno'!D112</f>
        <v>12870.43</v>
      </c>
      <c r="D16" s="134">
        <v>2</v>
      </c>
      <c r="E16" s="135">
        <v>1</v>
      </c>
      <c r="F16" s="133">
        <f>C16*D16</f>
        <v>25740.86</v>
      </c>
      <c r="G16" s="133">
        <f>F16*E16</f>
        <v>25740.86</v>
      </c>
      <c r="H16" s="136">
        <f>G16*12</f>
        <v>308890.32</v>
      </c>
    </row>
    <row r="17" spans="1:8" ht="15.75" thickBot="1" x14ac:dyDescent="0.3">
      <c r="A17" s="306" t="s">
        <v>223</v>
      </c>
      <c r="B17" s="307"/>
      <c r="C17" s="307"/>
      <c r="D17" s="307"/>
      <c r="E17" s="307"/>
      <c r="F17" s="307"/>
      <c r="G17" s="307"/>
      <c r="H17" s="308"/>
    </row>
    <row r="18" spans="1:8" ht="15" x14ac:dyDescent="0.25">
      <c r="A18" s="291">
        <v>2</v>
      </c>
      <c r="B18" s="55" t="s">
        <v>275</v>
      </c>
      <c r="C18" s="123">
        <f>'Motorista - Diurno'!F111</f>
        <v>11770.42</v>
      </c>
      <c r="D18" s="124">
        <v>2</v>
      </c>
      <c r="E18" s="125">
        <v>1</v>
      </c>
      <c r="F18" s="126">
        <f t="shared" ref="F18:F23" si="1">C18*D18</f>
        <v>23540.84</v>
      </c>
      <c r="G18" s="126">
        <f t="shared" ref="G18:G23" si="2">F18*E18</f>
        <v>23540.84</v>
      </c>
      <c r="H18" s="127">
        <f t="shared" ref="H18:H23" si="3">G18*12</f>
        <v>282490.08</v>
      </c>
    </row>
    <row r="19" spans="1:8" ht="15" x14ac:dyDescent="0.25">
      <c r="A19" s="292"/>
      <c r="B19" s="54" t="s">
        <v>276</v>
      </c>
      <c r="C19" s="128">
        <f>'Motorista - Noturno'!F112</f>
        <v>12843.49</v>
      </c>
      <c r="D19" s="129">
        <v>2</v>
      </c>
      <c r="E19" s="130">
        <v>1</v>
      </c>
      <c r="F19" s="131">
        <f t="shared" si="1"/>
        <v>25686.98</v>
      </c>
      <c r="G19" s="131">
        <f t="shared" si="2"/>
        <v>25686.98</v>
      </c>
      <c r="H19" s="132">
        <f t="shared" si="3"/>
        <v>308243.76</v>
      </c>
    </row>
    <row r="20" spans="1:8" ht="15" x14ac:dyDescent="0.25">
      <c r="A20" s="292"/>
      <c r="B20" s="54" t="s">
        <v>218</v>
      </c>
      <c r="C20" s="131">
        <f>'Enfermeiro - Diurno'!D111</f>
        <v>13784.92</v>
      </c>
      <c r="D20" s="129">
        <v>2</v>
      </c>
      <c r="E20" s="130">
        <v>1</v>
      </c>
      <c r="F20" s="131">
        <f t="shared" si="1"/>
        <v>27569.84</v>
      </c>
      <c r="G20" s="131">
        <f t="shared" si="2"/>
        <v>27569.84</v>
      </c>
      <c r="H20" s="132">
        <f t="shared" si="3"/>
        <v>330838.08</v>
      </c>
    </row>
    <row r="21" spans="1:8" ht="15" x14ac:dyDescent="0.25">
      <c r="A21" s="292"/>
      <c r="B21" s="54" t="s">
        <v>224</v>
      </c>
      <c r="C21" s="131">
        <f>'Enfermeiro - Noturno'!D112</f>
        <v>15165.22</v>
      </c>
      <c r="D21" s="129">
        <v>2</v>
      </c>
      <c r="E21" s="130">
        <v>1</v>
      </c>
      <c r="F21" s="131">
        <f t="shared" si="1"/>
        <v>30330.44</v>
      </c>
      <c r="G21" s="131">
        <f t="shared" si="2"/>
        <v>30330.44</v>
      </c>
      <c r="H21" s="132">
        <f t="shared" si="3"/>
        <v>363965.28</v>
      </c>
    </row>
    <row r="22" spans="1:8" ht="15" x14ac:dyDescent="0.25">
      <c r="A22" s="292"/>
      <c r="B22" s="54" t="s">
        <v>219</v>
      </c>
      <c r="C22" s="131">
        <f>'Médico - Diurno '!D111</f>
        <v>46825.15</v>
      </c>
      <c r="D22" s="129">
        <v>2</v>
      </c>
      <c r="E22" s="130">
        <v>1</v>
      </c>
      <c r="F22" s="131">
        <f t="shared" si="1"/>
        <v>93650.3</v>
      </c>
      <c r="G22" s="131">
        <f t="shared" si="2"/>
        <v>93650.3</v>
      </c>
      <c r="H22" s="132">
        <f t="shared" si="3"/>
        <v>1123803.6000000001</v>
      </c>
    </row>
    <row r="23" spans="1:8" ht="15.75" thickBot="1" x14ac:dyDescent="0.3">
      <c r="A23" s="293"/>
      <c r="B23" s="78" t="s">
        <v>225</v>
      </c>
      <c r="C23" s="131">
        <f>'Médico - Noturno'!D111</f>
        <v>51879.63</v>
      </c>
      <c r="D23" s="129">
        <v>2</v>
      </c>
      <c r="E23" s="130">
        <v>1</v>
      </c>
      <c r="F23" s="131">
        <f t="shared" si="1"/>
        <v>103759.26</v>
      </c>
      <c r="G23" s="131">
        <f t="shared" si="2"/>
        <v>103759.26</v>
      </c>
      <c r="H23" s="132">
        <f t="shared" si="3"/>
        <v>1245111.1200000001</v>
      </c>
    </row>
    <row r="24" spans="1:8" ht="15.75" thickBot="1" x14ac:dyDescent="0.3">
      <c r="A24" s="306" t="s">
        <v>181</v>
      </c>
      <c r="B24" s="307"/>
      <c r="C24" s="307"/>
      <c r="D24" s="307"/>
      <c r="E24" s="307"/>
      <c r="F24" s="307"/>
      <c r="G24" s="307"/>
      <c r="H24" s="308"/>
    </row>
    <row r="25" spans="1:8" ht="15" x14ac:dyDescent="0.25">
      <c r="A25" s="291">
        <v>3</v>
      </c>
      <c r="B25" s="55" t="s">
        <v>275</v>
      </c>
      <c r="C25" s="126">
        <f>'Motorista - Diurno'!E111</f>
        <v>12450.41</v>
      </c>
      <c r="D25" s="124">
        <v>2</v>
      </c>
      <c r="E25" s="125">
        <v>2</v>
      </c>
      <c r="F25" s="126">
        <f>C25*D25</f>
        <v>24900.82</v>
      </c>
      <c r="G25" s="126">
        <f>F25*E25</f>
        <v>49801.64</v>
      </c>
      <c r="H25" s="127">
        <f>G25*12</f>
        <v>597619.68000000005</v>
      </c>
    </row>
    <row r="26" spans="1:8" ht="15" x14ac:dyDescent="0.25">
      <c r="A26" s="292"/>
      <c r="B26" s="54" t="s">
        <v>276</v>
      </c>
      <c r="C26" s="131">
        <f>'Motorista - Noturno'!E112</f>
        <v>13523.46</v>
      </c>
      <c r="D26" s="129">
        <v>2</v>
      </c>
      <c r="E26" s="130">
        <v>2</v>
      </c>
      <c r="F26" s="131">
        <f>C26*D26</f>
        <v>27046.92</v>
      </c>
      <c r="G26" s="131">
        <f>F26*E26</f>
        <v>54093.84</v>
      </c>
      <c r="H26" s="132">
        <f>G26*12</f>
        <v>649126.07999999996</v>
      </c>
    </row>
    <row r="27" spans="1:8" ht="15" x14ac:dyDescent="0.25">
      <c r="A27" s="292"/>
      <c r="B27" s="54" t="s">
        <v>222</v>
      </c>
      <c r="C27" s="128">
        <f>'Técnico de Enfermagem - Diurno'!E112</f>
        <v>12036.57</v>
      </c>
      <c r="D27" s="129">
        <v>2</v>
      </c>
      <c r="E27" s="130">
        <v>2</v>
      </c>
      <c r="F27" s="131">
        <f>C27*D27</f>
        <v>24073.14</v>
      </c>
      <c r="G27" s="131">
        <f>F27*E27</f>
        <v>48146.28</v>
      </c>
      <c r="H27" s="132">
        <f>G27*12</f>
        <v>577755.36</v>
      </c>
    </row>
    <row r="28" spans="1:8" ht="15.75" thickBot="1" x14ac:dyDescent="0.3">
      <c r="A28" s="293"/>
      <c r="B28" s="78" t="s">
        <v>221</v>
      </c>
      <c r="C28" s="137">
        <f>'Técnico de Enfermagem - Noturno'!E112</f>
        <v>13063.86</v>
      </c>
      <c r="D28" s="134">
        <v>2</v>
      </c>
      <c r="E28" s="135">
        <v>2</v>
      </c>
      <c r="F28" s="133">
        <f>C28*D28</f>
        <v>26127.72</v>
      </c>
      <c r="G28" s="133">
        <f>F28*E28</f>
        <v>52255.44</v>
      </c>
      <c r="H28" s="136">
        <f>G28*12</f>
        <v>627065.28</v>
      </c>
    </row>
    <row r="29" spans="1:8" ht="15.75" thickBot="1" x14ac:dyDescent="0.3">
      <c r="A29" s="306" t="s">
        <v>223</v>
      </c>
      <c r="B29" s="307"/>
      <c r="C29" s="307"/>
      <c r="D29" s="307"/>
      <c r="E29" s="307"/>
      <c r="F29" s="307"/>
      <c r="G29" s="307"/>
      <c r="H29" s="308"/>
    </row>
    <row r="30" spans="1:8" ht="15" x14ac:dyDescent="0.25">
      <c r="A30" s="291">
        <v>4</v>
      </c>
      <c r="B30" s="55" t="s">
        <v>275</v>
      </c>
      <c r="C30" s="123">
        <f>'Motorista - Diurno'!G111</f>
        <v>11963.85</v>
      </c>
      <c r="D30" s="124">
        <v>2</v>
      </c>
      <c r="E30" s="125">
        <v>2</v>
      </c>
      <c r="F30" s="126">
        <f t="shared" ref="F30:F35" si="4">C30*D30</f>
        <v>23927.7</v>
      </c>
      <c r="G30" s="126">
        <f t="shared" ref="G30:G35" si="5">F30*E30</f>
        <v>47855.4</v>
      </c>
      <c r="H30" s="127">
        <f t="shared" ref="H30:H35" si="6">G30*12</f>
        <v>574264.80000000005</v>
      </c>
    </row>
    <row r="31" spans="1:8" ht="15" x14ac:dyDescent="0.25">
      <c r="A31" s="292"/>
      <c r="B31" s="54" t="s">
        <v>276</v>
      </c>
      <c r="C31" s="128">
        <f>'Motorista - Noturno'!G112</f>
        <v>13036.92</v>
      </c>
      <c r="D31" s="129">
        <v>2</v>
      </c>
      <c r="E31" s="130">
        <v>2</v>
      </c>
      <c r="F31" s="131">
        <f t="shared" si="4"/>
        <v>26073.84</v>
      </c>
      <c r="G31" s="131">
        <f t="shared" si="5"/>
        <v>52147.68</v>
      </c>
      <c r="H31" s="132">
        <f t="shared" si="6"/>
        <v>625772.16</v>
      </c>
    </row>
    <row r="32" spans="1:8" ht="15" x14ac:dyDescent="0.25">
      <c r="A32" s="292"/>
      <c r="B32" s="54" t="s">
        <v>218</v>
      </c>
      <c r="C32" s="131">
        <f>'Enfermeiro - Diurno'!E111</f>
        <v>13784.92</v>
      </c>
      <c r="D32" s="129">
        <v>2</v>
      </c>
      <c r="E32" s="130">
        <v>2</v>
      </c>
      <c r="F32" s="131">
        <f t="shared" si="4"/>
        <v>27569.84</v>
      </c>
      <c r="G32" s="131">
        <f t="shared" si="5"/>
        <v>55139.68</v>
      </c>
      <c r="H32" s="132">
        <f t="shared" si="6"/>
        <v>661676.16</v>
      </c>
    </row>
    <row r="33" spans="1:8" ht="15" x14ac:dyDescent="0.25">
      <c r="A33" s="292"/>
      <c r="B33" s="54" t="s">
        <v>224</v>
      </c>
      <c r="C33" s="131">
        <f>'Enfermeiro - Noturno'!E112</f>
        <v>15165.22</v>
      </c>
      <c r="D33" s="129">
        <v>2</v>
      </c>
      <c r="E33" s="130">
        <v>2</v>
      </c>
      <c r="F33" s="131">
        <f t="shared" si="4"/>
        <v>30330.44</v>
      </c>
      <c r="G33" s="131">
        <f t="shared" si="5"/>
        <v>60660.88</v>
      </c>
      <c r="H33" s="132">
        <f t="shared" si="6"/>
        <v>727930.56</v>
      </c>
    </row>
    <row r="34" spans="1:8" ht="15" x14ac:dyDescent="0.25">
      <c r="A34" s="292"/>
      <c r="B34" s="54" t="s">
        <v>219</v>
      </c>
      <c r="C34" s="131">
        <f>'Médico - Diurno '!E111</f>
        <v>46825.15</v>
      </c>
      <c r="D34" s="129">
        <v>2</v>
      </c>
      <c r="E34" s="130">
        <v>2</v>
      </c>
      <c r="F34" s="131">
        <f t="shared" si="4"/>
        <v>93650.3</v>
      </c>
      <c r="G34" s="131">
        <f t="shared" si="5"/>
        <v>187300.6</v>
      </c>
      <c r="H34" s="132">
        <f t="shared" si="6"/>
        <v>2247607.2000000002</v>
      </c>
    </row>
    <row r="35" spans="1:8" ht="15.75" thickBot="1" x14ac:dyDescent="0.3">
      <c r="A35" s="293"/>
      <c r="B35" s="78" t="s">
        <v>225</v>
      </c>
      <c r="C35" s="133">
        <f>'Médico - Noturno'!E111</f>
        <v>51879.63</v>
      </c>
      <c r="D35" s="134">
        <v>2</v>
      </c>
      <c r="E35" s="135">
        <v>2</v>
      </c>
      <c r="F35" s="133">
        <f t="shared" si="4"/>
        <v>103759.26</v>
      </c>
      <c r="G35" s="133">
        <f t="shared" si="5"/>
        <v>207518.52</v>
      </c>
      <c r="H35" s="136">
        <f t="shared" si="6"/>
        <v>2490222.2400000002</v>
      </c>
    </row>
    <row r="36" spans="1:8" ht="15.75" customHeight="1" thickBot="1" x14ac:dyDescent="0.3">
      <c r="A36" s="303" t="s">
        <v>258</v>
      </c>
      <c r="B36" s="304"/>
      <c r="C36" s="304"/>
      <c r="D36" s="304"/>
      <c r="E36" s="304"/>
      <c r="F36" s="304"/>
      <c r="G36" s="305"/>
      <c r="H36" s="77">
        <f>SUM(H13:H35)</f>
        <v>14640705.6</v>
      </c>
    </row>
  </sheetData>
  <mergeCells count="14">
    <mergeCell ref="A36:G36"/>
    <mergeCell ref="A12:H12"/>
    <mergeCell ref="A24:H24"/>
    <mergeCell ref="A29:H29"/>
    <mergeCell ref="A17:H17"/>
    <mergeCell ref="A18:A23"/>
    <mergeCell ref="A1:H1"/>
    <mergeCell ref="A13:A16"/>
    <mergeCell ref="A25:A28"/>
    <mergeCell ref="A30:A35"/>
    <mergeCell ref="A9:H9"/>
    <mergeCell ref="A10:B10"/>
    <mergeCell ref="A11:B11"/>
    <mergeCell ref="A7:G7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3"/>
  <sheetViews>
    <sheetView view="pageBreakPreview" topLeftCell="A31" zoomScaleNormal="115" zoomScaleSheetLayoutView="100" workbookViewId="0">
      <selection activeCell="D44" sqref="D44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7" width="15.7109375" style="32" customWidth="1"/>
    <col min="8" max="8" width="9.140625" style="28" customWidth="1"/>
    <col min="9" max="16384" width="9.140625" style="28"/>
  </cols>
  <sheetData>
    <row r="1" spans="1:7" x14ac:dyDescent="0.25">
      <c r="A1" s="361"/>
      <c r="B1" s="362"/>
      <c r="C1" s="362"/>
      <c r="D1" s="362"/>
      <c r="E1" s="362"/>
      <c r="F1" s="362"/>
      <c r="G1" s="363"/>
    </row>
    <row r="2" spans="1:7" s="38" customFormat="1" ht="16.5" customHeight="1" x14ac:dyDescent="0.25">
      <c r="A2" s="333" t="s">
        <v>127</v>
      </c>
      <c r="B2" s="334"/>
      <c r="C2" s="334"/>
      <c r="D2" s="334"/>
      <c r="E2" s="334"/>
      <c r="F2" s="334"/>
      <c r="G2" s="335"/>
    </row>
    <row r="3" spans="1:7" s="38" customFormat="1" ht="15.75" customHeight="1" x14ac:dyDescent="0.25">
      <c r="A3" s="83" t="s">
        <v>0</v>
      </c>
      <c r="B3" s="145" t="s">
        <v>1</v>
      </c>
      <c r="C3" s="364">
        <v>2025</v>
      </c>
      <c r="D3" s="364"/>
      <c r="E3" s="364"/>
      <c r="F3" s="364"/>
      <c r="G3" s="365"/>
    </row>
    <row r="4" spans="1:7" s="38" customFormat="1" ht="45" customHeight="1" x14ac:dyDescent="0.25">
      <c r="A4" s="83" t="s">
        <v>2</v>
      </c>
      <c r="B4" s="145" t="s">
        <v>135</v>
      </c>
      <c r="C4" s="366" t="s">
        <v>248</v>
      </c>
      <c r="D4" s="366"/>
      <c r="E4" s="366"/>
      <c r="F4" s="366"/>
      <c r="G4" s="367"/>
    </row>
    <row r="5" spans="1:7" s="38" customFormat="1" ht="15.75" customHeight="1" x14ac:dyDescent="0.25">
      <c r="A5" s="83" t="s">
        <v>3</v>
      </c>
      <c r="B5" s="145" t="s">
        <v>4</v>
      </c>
      <c r="C5" s="368" t="s">
        <v>284</v>
      </c>
      <c r="D5" s="368"/>
      <c r="E5" s="368"/>
      <c r="F5" s="368"/>
      <c r="G5" s="369"/>
    </row>
    <row r="6" spans="1:7" s="38" customFormat="1" x14ac:dyDescent="0.25">
      <c r="A6" s="83" t="s">
        <v>5</v>
      </c>
      <c r="B6" s="145" t="s">
        <v>299</v>
      </c>
      <c r="C6" s="366">
        <v>12</v>
      </c>
      <c r="D6" s="366"/>
      <c r="E6" s="366"/>
      <c r="F6" s="366"/>
      <c r="G6" s="367"/>
    </row>
    <row r="7" spans="1:7" s="38" customFormat="1" x14ac:dyDescent="0.25">
      <c r="A7" s="344" t="s">
        <v>6</v>
      </c>
      <c r="B7" s="345"/>
      <c r="C7" s="345"/>
      <c r="D7" s="345"/>
      <c r="E7" s="345"/>
      <c r="F7" s="345"/>
      <c r="G7" s="346"/>
    </row>
    <row r="8" spans="1:7" s="38" customFormat="1" x14ac:dyDescent="0.25">
      <c r="A8" s="344" t="s">
        <v>7</v>
      </c>
      <c r="B8" s="345"/>
      <c r="C8" s="345"/>
      <c r="D8" s="345"/>
      <c r="E8" s="345"/>
      <c r="F8" s="345"/>
      <c r="G8" s="346"/>
    </row>
    <row r="9" spans="1:7" s="38" customFormat="1" ht="15.75" customHeight="1" x14ac:dyDescent="0.25">
      <c r="A9" s="344" t="s">
        <v>8</v>
      </c>
      <c r="B9" s="345"/>
      <c r="C9" s="345"/>
      <c r="D9" s="345"/>
      <c r="E9" s="345"/>
      <c r="F9" s="345"/>
      <c r="G9" s="346"/>
    </row>
    <row r="10" spans="1:7" s="38" customFormat="1" ht="30" customHeight="1" x14ac:dyDescent="0.25">
      <c r="A10" s="358" t="s">
        <v>9</v>
      </c>
      <c r="B10" s="331"/>
      <c r="C10" s="331"/>
      <c r="D10" s="331" t="s">
        <v>10</v>
      </c>
      <c r="E10" s="331"/>
      <c r="F10" s="331"/>
      <c r="G10" s="332"/>
    </row>
    <row r="11" spans="1:7" s="38" customFormat="1" ht="45" customHeight="1" x14ac:dyDescent="0.25">
      <c r="A11" s="83">
        <v>1</v>
      </c>
      <c r="B11" s="342" t="s">
        <v>128</v>
      </c>
      <c r="C11" s="342"/>
      <c r="D11" s="337" t="s">
        <v>249</v>
      </c>
      <c r="E11" s="337"/>
      <c r="F11" s="337"/>
      <c r="G11" s="338"/>
    </row>
    <row r="12" spans="1:7" s="38" customFormat="1" ht="30" customHeight="1" x14ac:dyDescent="0.25">
      <c r="A12" s="83">
        <v>2</v>
      </c>
      <c r="B12" s="342" t="s">
        <v>11</v>
      </c>
      <c r="C12" s="342"/>
      <c r="D12" s="359">
        <v>3500.06</v>
      </c>
      <c r="E12" s="359"/>
      <c r="F12" s="359"/>
      <c r="G12" s="360"/>
    </row>
    <row r="13" spans="1:7" s="38" customFormat="1" ht="15.75" customHeight="1" x14ac:dyDescent="0.25">
      <c r="A13" s="83">
        <v>3</v>
      </c>
      <c r="B13" s="342" t="s">
        <v>12</v>
      </c>
      <c r="C13" s="342"/>
      <c r="D13" s="337" t="s">
        <v>250</v>
      </c>
      <c r="E13" s="337"/>
      <c r="F13" s="337"/>
      <c r="G13" s="338"/>
    </row>
    <row r="14" spans="1:7" s="38" customFormat="1" x14ac:dyDescent="0.25">
      <c r="A14" s="83">
        <v>4</v>
      </c>
      <c r="B14" s="343" t="s">
        <v>13</v>
      </c>
      <c r="C14" s="343"/>
      <c r="D14" s="339">
        <v>45673</v>
      </c>
      <c r="E14" s="340"/>
      <c r="F14" s="340"/>
      <c r="G14" s="341"/>
    </row>
    <row r="15" spans="1:7" s="39" customFormat="1" ht="30" customHeight="1" x14ac:dyDescent="0.25">
      <c r="A15" s="329" t="s">
        <v>14</v>
      </c>
      <c r="B15" s="330"/>
      <c r="C15" s="330"/>
      <c r="D15" s="146" t="s">
        <v>251</v>
      </c>
      <c r="E15" s="147" t="s">
        <v>253</v>
      </c>
      <c r="F15" s="146" t="s">
        <v>252</v>
      </c>
      <c r="G15" s="148" t="s">
        <v>254</v>
      </c>
    </row>
    <row r="16" spans="1:7" s="39" customFormat="1" x14ac:dyDescent="0.25">
      <c r="A16" s="272">
        <v>1</v>
      </c>
      <c r="B16" s="336" t="s">
        <v>15</v>
      </c>
      <c r="C16" s="336"/>
      <c r="D16" s="149" t="s">
        <v>10</v>
      </c>
      <c r="E16" s="149" t="s">
        <v>10</v>
      </c>
      <c r="F16" s="149" t="s">
        <v>10</v>
      </c>
      <c r="G16" s="150" t="s">
        <v>10</v>
      </c>
    </row>
    <row r="17" spans="1:7" s="38" customFormat="1" ht="15.75" customHeight="1" x14ac:dyDescent="0.25">
      <c r="A17" s="151" t="s">
        <v>0</v>
      </c>
      <c r="B17" s="152" t="s">
        <v>16</v>
      </c>
      <c r="C17" s="269"/>
      <c r="D17" s="112">
        <f>D12</f>
        <v>3500.06</v>
      </c>
      <c r="E17" s="112">
        <f>D12</f>
        <v>3500.06</v>
      </c>
      <c r="F17" s="112">
        <f>D12</f>
        <v>3500.06</v>
      </c>
      <c r="G17" s="196">
        <f>D12</f>
        <v>3500.06</v>
      </c>
    </row>
    <row r="18" spans="1:7" s="38" customFormat="1" ht="15.75" customHeight="1" x14ac:dyDescent="0.25">
      <c r="A18" s="151" t="s">
        <v>2</v>
      </c>
      <c r="B18" s="152" t="s">
        <v>17</v>
      </c>
      <c r="C18" s="155"/>
      <c r="D18" s="156"/>
      <c r="E18" s="156"/>
      <c r="F18" s="156"/>
      <c r="G18" s="157"/>
    </row>
    <row r="19" spans="1:7" s="38" customFormat="1" ht="15.75" customHeight="1" x14ac:dyDescent="0.25">
      <c r="A19" s="151" t="s">
        <v>3</v>
      </c>
      <c r="B19" s="152" t="s">
        <v>18</v>
      </c>
      <c r="C19" s="158">
        <v>1518</v>
      </c>
      <c r="D19" s="159">
        <f>40%*C19</f>
        <v>607.20000000000005</v>
      </c>
      <c r="E19" s="159">
        <f>40%*C19</f>
        <v>607.20000000000005</v>
      </c>
      <c r="F19" s="159">
        <f>40%*C19</f>
        <v>607.20000000000005</v>
      </c>
      <c r="G19" s="160">
        <f>40%*C19</f>
        <v>607.20000000000005</v>
      </c>
    </row>
    <row r="20" spans="1:7" s="38" customFormat="1" ht="15.75" customHeight="1" x14ac:dyDescent="0.25">
      <c r="A20" s="151" t="s">
        <v>5</v>
      </c>
      <c r="B20" s="152" t="s">
        <v>19</v>
      </c>
      <c r="C20" s="155"/>
      <c r="D20" s="156"/>
      <c r="E20" s="156"/>
      <c r="F20" s="156"/>
      <c r="G20" s="157"/>
    </row>
    <row r="21" spans="1:7" s="38" customFormat="1" ht="15.75" customHeight="1" x14ac:dyDescent="0.25">
      <c r="A21" s="151" t="s">
        <v>20</v>
      </c>
      <c r="B21" s="152" t="s">
        <v>196</v>
      </c>
      <c r="C21" s="155"/>
      <c r="D21" s="156"/>
      <c r="E21" s="156"/>
      <c r="F21" s="156"/>
      <c r="G21" s="157"/>
    </row>
    <row r="22" spans="1:7" s="38" customFormat="1" x14ac:dyDescent="0.25">
      <c r="A22" s="151" t="s">
        <v>21</v>
      </c>
      <c r="B22" s="152" t="s">
        <v>133</v>
      </c>
      <c r="C22" s="161"/>
      <c r="D22" s="162"/>
      <c r="E22" s="162"/>
      <c r="F22" s="162"/>
      <c r="G22" s="163"/>
    </row>
    <row r="23" spans="1:7" s="38" customFormat="1" ht="15.75" customHeight="1" x14ac:dyDescent="0.25">
      <c r="A23" s="151" t="s">
        <v>22</v>
      </c>
      <c r="B23" s="164" t="s">
        <v>134</v>
      </c>
      <c r="C23" s="161"/>
      <c r="D23" s="162"/>
      <c r="E23" s="162"/>
      <c r="F23" s="162"/>
      <c r="G23" s="163"/>
    </row>
    <row r="24" spans="1:7" s="39" customFormat="1" ht="15.75" customHeight="1" x14ac:dyDescent="0.25">
      <c r="A24" s="313" t="s">
        <v>145</v>
      </c>
      <c r="B24" s="314"/>
      <c r="C24" s="314"/>
      <c r="D24" s="165">
        <f>SUM(D17:D23)</f>
        <v>4107.26</v>
      </c>
      <c r="E24" s="165">
        <f>SUM(E17:E23)</f>
        <v>4107.26</v>
      </c>
      <c r="F24" s="165">
        <f>SUM(F17:F23)</f>
        <v>4107.26</v>
      </c>
      <c r="G24" s="166">
        <f>SUM(G17:G23)</f>
        <v>4107.26</v>
      </c>
    </row>
    <row r="25" spans="1:7" s="39" customFormat="1" x14ac:dyDescent="0.25">
      <c r="A25" s="317" t="s">
        <v>48</v>
      </c>
      <c r="B25" s="318"/>
      <c r="C25" s="318"/>
      <c r="D25" s="167"/>
      <c r="E25" s="167"/>
      <c r="F25" s="167"/>
      <c r="G25" s="168"/>
    </row>
    <row r="26" spans="1:7" s="38" customFormat="1" x14ac:dyDescent="0.25">
      <c r="A26" s="266">
        <v>2</v>
      </c>
      <c r="B26" s="309" t="s">
        <v>197</v>
      </c>
      <c r="C26" s="316"/>
      <c r="D26" s="169" t="s">
        <v>10</v>
      </c>
      <c r="E26" s="169" t="s">
        <v>10</v>
      </c>
      <c r="F26" s="169" t="s">
        <v>10</v>
      </c>
      <c r="G26" s="170" t="s">
        <v>10</v>
      </c>
    </row>
    <row r="27" spans="1:7" s="38" customFormat="1" x14ac:dyDescent="0.25">
      <c r="A27" s="171" t="s">
        <v>0</v>
      </c>
      <c r="B27" s="172" t="s">
        <v>28</v>
      </c>
      <c r="C27" s="173">
        <f>1/12</f>
        <v>8.3299999999999999E-2</v>
      </c>
      <c r="D27" s="174">
        <f>(D24)*C27</f>
        <v>342.13</v>
      </c>
      <c r="E27" s="174">
        <f>(E24)*C27</f>
        <v>342.13</v>
      </c>
      <c r="F27" s="174">
        <f>(F24)*C27</f>
        <v>342.13</v>
      </c>
      <c r="G27" s="175">
        <f>(G24)*C27</f>
        <v>342.13</v>
      </c>
    </row>
    <row r="28" spans="1:7" s="38" customFormat="1" x14ac:dyDescent="0.25">
      <c r="A28" s="171" t="s">
        <v>2</v>
      </c>
      <c r="B28" s="172" t="s">
        <v>141</v>
      </c>
      <c r="C28" s="173">
        <v>0.1111</v>
      </c>
      <c r="D28" s="174">
        <f>D24*C28</f>
        <v>456.32</v>
      </c>
      <c r="E28" s="174">
        <f>E24*C28</f>
        <v>456.32</v>
      </c>
      <c r="F28" s="174">
        <f>F24*C28</f>
        <v>456.32</v>
      </c>
      <c r="G28" s="175">
        <f>G24*C28</f>
        <v>456.32</v>
      </c>
    </row>
    <row r="29" spans="1:7" x14ac:dyDescent="0.25">
      <c r="A29" s="322" t="s">
        <v>27</v>
      </c>
      <c r="B29" s="323"/>
      <c r="C29" s="176">
        <f>SUM(C27:C28)</f>
        <v>0.19439999999999999</v>
      </c>
      <c r="D29" s="177">
        <f>SUM(D27:D28)</f>
        <v>798.45</v>
      </c>
      <c r="E29" s="177">
        <f>SUM(E27:E28)</f>
        <v>798.45</v>
      </c>
      <c r="F29" s="177">
        <f>SUM(F27:F28)</f>
        <v>798.45</v>
      </c>
      <c r="G29" s="178">
        <f>SUM(G27:G28)</f>
        <v>798.45</v>
      </c>
    </row>
    <row r="30" spans="1:7" ht="32.25" customHeight="1" x14ac:dyDescent="0.25">
      <c r="A30" s="355" t="s">
        <v>198</v>
      </c>
      <c r="B30" s="356"/>
      <c r="C30" s="356"/>
      <c r="D30" s="356"/>
      <c r="E30" s="356"/>
      <c r="F30" s="356"/>
      <c r="G30" s="357"/>
    </row>
    <row r="31" spans="1:7" x14ac:dyDescent="0.25">
      <c r="A31" s="260" t="s">
        <v>201</v>
      </c>
      <c r="B31" s="353" t="s">
        <v>25</v>
      </c>
      <c r="C31" s="354"/>
      <c r="D31" s="271"/>
      <c r="E31" s="271"/>
      <c r="F31" s="271"/>
      <c r="G31" s="179"/>
    </row>
    <row r="32" spans="1:7" x14ac:dyDescent="0.25">
      <c r="A32" s="171" t="s">
        <v>0</v>
      </c>
      <c r="B32" s="180" t="s">
        <v>300</v>
      </c>
      <c r="C32" s="173">
        <v>0.2</v>
      </c>
      <c r="D32" s="174">
        <f t="shared" ref="D32:D39" si="0">($D$24+D$29)*C32</f>
        <v>981.14</v>
      </c>
      <c r="E32" s="174">
        <f t="shared" ref="E32:E39" si="1">($E$24+E$29)*C32</f>
        <v>981.14</v>
      </c>
      <c r="F32" s="174">
        <f t="shared" ref="F32:F39" si="2">($F$24+F$29)*C32</f>
        <v>981.14</v>
      </c>
      <c r="G32" s="175">
        <f>($G$24+G$29)*C32</f>
        <v>981.14</v>
      </c>
    </row>
    <row r="33" spans="1:7" x14ac:dyDescent="0.25">
      <c r="A33" s="171" t="s">
        <v>2</v>
      </c>
      <c r="B33" s="180" t="s">
        <v>301</v>
      </c>
      <c r="C33" s="181">
        <v>2.5000000000000001E-2</v>
      </c>
      <c r="D33" s="174">
        <f t="shared" si="0"/>
        <v>122.64</v>
      </c>
      <c r="E33" s="174">
        <f t="shared" si="1"/>
        <v>122.64</v>
      </c>
      <c r="F33" s="174">
        <f t="shared" si="2"/>
        <v>122.64</v>
      </c>
      <c r="G33" s="175">
        <f t="shared" ref="G33:G39" si="3">($G$24+G$29)*C33</f>
        <v>122.64</v>
      </c>
    </row>
    <row r="34" spans="1:7" ht="45" x14ac:dyDescent="0.25">
      <c r="A34" s="171" t="s">
        <v>3</v>
      </c>
      <c r="B34" s="259" t="s">
        <v>302</v>
      </c>
      <c r="C34" s="181">
        <v>0.03</v>
      </c>
      <c r="D34" s="174">
        <f t="shared" si="0"/>
        <v>147.16999999999999</v>
      </c>
      <c r="E34" s="174">
        <f>($E$24+E$29)*C34</f>
        <v>147.16999999999999</v>
      </c>
      <c r="F34" s="174">
        <f t="shared" si="2"/>
        <v>147.16999999999999</v>
      </c>
      <c r="G34" s="175">
        <f t="shared" si="3"/>
        <v>147.16999999999999</v>
      </c>
    </row>
    <row r="35" spans="1:7" x14ac:dyDescent="0.25">
      <c r="A35" s="171" t="s">
        <v>5</v>
      </c>
      <c r="B35" s="180" t="s">
        <v>303</v>
      </c>
      <c r="C35" s="181">
        <v>1.4999999999999999E-2</v>
      </c>
      <c r="D35" s="174">
        <f t="shared" si="0"/>
        <v>73.59</v>
      </c>
      <c r="E35" s="174">
        <f t="shared" si="1"/>
        <v>73.59</v>
      </c>
      <c r="F35" s="174">
        <f t="shared" si="2"/>
        <v>73.59</v>
      </c>
      <c r="G35" s="175">
        <f t="shared" si="3"/>
        <v>73.59</v>
      </c>
    </row>
    <row r="36" spans="1:7" x14ac:dyDescent="0.25">
      <c r="A36" s="171" t="s">
        <v>20</v>
      </c>
      <c r="B36" s="180" t="s">
        <v>304</v>
      </c>
      <c r="C36" s="181">
        <v>0.01</v>
      </c>
      <c r="D36" s="174">
        <f t="shared" si="0"/>
        <v>49.06</v>
      </c>
      <c r="E36" s="174">
        <f t="shared" si="1"/>
        <v>49.06</v>
      </c>
      <c r="F36" s="174">
        <f>($F$24+F$29)*C36</f>
        <v>49.06</v>
      </c>
      <c r="G36" s="175">
        <f t="shared" si="3"/>
        <v>49.06</v>
      </c>
    </row>
    <row r="37" spans="1:7" x14ac:dyDescent="0.25">
      <c r="A37" s="171" t="s">
        <v>21</v>
      </c>
      <c r="B37" s="182" t="s">
        <v>200</v>
      </c>
      <c r="C37" s="181">
        <v>6.0000000000000001E-3</v>
      </c>
      <c r="D37" s="174">
        <f t="shared" si="0"/>
        <v>29.43</v>
      </c>
      <c r="E37" s="174">
        <f t="shared" si="1"/>
        <v>29.43</v>
      </c>
      <c r="F37" s="174">
        <f t="shared" si="2"/>
        <v>29.43</v>
      </c>
      <c r="G37" s="175">
        <f t="shared" si="3"/>
        <v>29.43</v>
      </c>
    </row>
    <row r="38" spans="1:7" ht="30.75" customHeight="1" x14ac:dyDescent="0.25">
      <c r="A38" s="171" t="s">
        <v>22</v>
      </c>
      <c r="B38" s="259" t="s">
        <v>305</v>
      </c>
      <c r="C38" s="181">
        <v>2E-3</v>
      </c>
      <c r="D38" s="174">
        <f t="shared" si="0"/>
        <v>9.81</v>
      </c>
      <c r="E38" s="174">
        <f t="shared" si="1"/>
        <v>9.81</v>
      </c>
      <c r="F38" s="174">
        <f t="shared" si="2"/>
        <v>9.81</v>
      </c>
      <c r="G38" s="175">
        <f>($G$24+G$29)*C38</f>
        <v>9.81</v>
      </c>
    </row>
    <row r="39" spans="1:7" x14ac:dyDescent="0.25">
      <c r="A39" s="171" t="s">
        <v>26</v>
      </c>
      <c r="B39" s="183" t="s">
        <v>199</v>
      </c>
      <c r="C39" s="181">
        <v>0.08</v>
      </c>
      <c r="D39" s="174">
        <f t="shared" si="0"/>
        <v>392.46</v>
      </c>
      <c r="E39" s="174">
        <f t="shared" si="1"/>
        <v>392.46</v>
      </c>
      <c r="F39" s="174">
        <f t="shared" si="2"/>
        <v>392.46</v>
      </c>
      <c r="G39" s="175">
        <f t="shared" si="3"/>
        <v>392.46</v>
      </c>
    </row>
    <row r="40" spans="1:7" s="30" customFormat="1" x14ac:dyDescent="0.25">
      <c r="A40" s="322" t="s">
        <v>27</v>
      </c>
      <c r="B40" s="323"/>
      <c r="C40" s="184">
        <f>SUM(C32:C39)</f>
        <v>0.36799999999999999</v>
      </c>
      <c r="D40" s="185">
        <f>SUM(D32:D39)</f>
        <v>1805.3</v>
      </c>
      <c r="E40" s="185">
        <f>SUM(E32:E39)</f>
        <v>1805.3</v>
      </c>
      <c r="F40" s="185">
        <f>SUM(F32:F39)</f>
        <v>1805.3</v>
      </c>
      <c r="G40" s="186">
        <f>SUM(G32:G39)</f>
        <v>1805.3</v>
      </c>
    </row>
    <row r="41" spans="1:7" s="30" customFormat="1" x14ac:dyDescent="0.25">
      <c r="A41" s="187" t="s">
        <v>202</v>
      </c>
      <c r="B41" s="350" t="s">
        <v>203</v>
      </c>
      <c r="C41" s="351"/>
      <c r="D41" s="270"/>
      <c r="E41" s="270"/>
      <c r="F41" s="270"/>
      <c r="G41" s="188"/>
    </row>
    <row r="42" spans="1:7" s="30" customFormat="1" x14ac:dyDescent="0.25">
      <c r="A42" s="189" t="s">
        <v>0</v>
      </c>
      <c r="B42" s="190" t="s">
        <v>137</v>
      </c>
      <c r="C42" s="191"/>
      <c r="D42" s="192">
        <v>0</v>
      </c>
      <c r="E42" s="193">
        <v>139.72</v>
      </c>
      <c r="F42" s="192">
        <v>0</v>
      </c>
      <c r="G42" s="194">
        <v>139.72</v>
      </c>
    </row>
    <row r="43" spans="1:7" s="30" customFormat="1" x14ac:dyDescent="0.25">
      <c r="A43" s="195" t="s">
        <v>2</v>
      </c>
      <c r="B43" s="164" t="s">
        <v>204</v>
      </c>
      <c r="C43" s="159">
        <v>626.94000000000005</v>
      </c>
      <c r="D43" s="112">
        <f>C43-(C43*0.99%)</f>
        <v>620.73</v>
      </c>
      <c r="E43" s="112">
        <f>C43-(C43*0.99%)</f>
        <v>620.73</v>
      </c>
      <c r="F43" s="112">
        <f>C43-(C43*0.99%)</f>
        <v>620.73</v>
      </c>
      <c r="G43" s="196">
        <f>C43-(C43*0.99%)</f>
        <v>620.73</v>
      </c>
    </row>
    <row r="44" spans="1:7" s="30" customFormat="1" x14ac:dyDescent="0.25">
      <c r="A44" s="171" t="s">
        <v>5</v>
      </c>
      <c r="B44" s="172" t="s">
        <v>129</v>
      </c>
      <c r="C44" s="197"/>
      <c r="D44" s="198">
        <v>0</v>
      </c>
      <c r="E44" s="198">
        <v>0</v>
      </c>
      <c r="F44" s="198">
        <v>0</v>
      </c>
      <c r="G44" s="199">
        <v>0</v>
      </c>
    </row>
    <row r="45" spans="1:7" s="30" customFormat="1" x14ac:dyDescent="0.25">
      <c r="A45" s="171" t="s">
        <v>20</v>
      </c>
      <c r="B45" s="172" t="s">
        <v>130</v>
      </c>
      <c r="C45" s="173">
        <v>0.5</v>
      </c>
      <c r="D45" s="198">
        <f>D17*C45*0.0199*2/12</f>
        <v>5.8</v>
      </c>
      <c r="E45" s="198">
        <f>E17*C45*0.0199*2/12</f>
        <v>5.8</v>
      </c>
      <c r="F45" s="198">
        <f>F17*C45*0.0199*2/12</f>
        <v>5.8</v>
      </c>
      <c r="G45" s="199">
        <f>G17*C45*0.0199*2/12</f>
        <v>5.8</v>
      </c>
    </row>
    <row r="46" spans="1:7" s="30" customFormat="1" x14ac:dyDescent="0.25">
      <c r="A46" s="171" t="s">
        <v>21</v>
      </c>
      <c r="B46" s="172" t="s">
        <v>131</v>
      </c>
      <c r="C46" s="200"/>
      <c r="D46" s="277">
        <v>50.76</v>
      </c>
      <c r="E46" s="277">
        <v>50.76</v>
      </c>
      <c r="F46" s="277">
        <v>50.76</v>
      </c>
      <c r="G46" s="278">
        <v>50.76</v>
      </c>
    </row>
    <row r="47" spans="1:7" s="30" customFormat="1" ht="15.75" customHeight="1" x14ac:dyDescent="0.25">
      <c r="A47" s="322" t="s">
        <v>23</v>
      </c>
      <c r="B47" s="323"/>
      <c r="C47" s="323"/>
      <c r="D47" s="201">
        <f>SUM(D42:D46)</f>
        <v>677.29</v>
      </c>
      <c r="E47" s="201">
        <f>SUM(E42:E46)</f>
        <v>817.01</v>
      </c>
      <c r="F47" s="201">
        <f>SUM(F42:F46)</f>
        <v>677.29</v>
      </c>
      <c r="G47" s="202">
        <f>SUM(G42:G46)</f>
        <v>817.01</v>
      </c>
    </row>
    <row r="48" spans="1:7" s="30" customFormat="1" ht="15.75" customHeight="1" x14ac:dyDescent="0.25">
      <c r="A48" s="317" t="s">
        <v>144</v>
      </c>
      <c r="B48" s="318"/>
      <c r="C48" s="318"/>
      <c r="D48" s="167"/>
      <c r="E48" s="167"/>
      <c r="F48" s="167"/>
      <c r="G48" s="168"/>
    </row>
    <row r="49" spans="1:7" s="30" customFormat="1" ht="15.75" customHeight="1" x14ac:dyDescent="0.25">
      <c r="A49" s="272" t="s">
        <v>136</v>
      </c>
      <c r="B49" s="203" t="s">
        <v>138</v>
      </c>
      <c r="C49" s="267"/>
      <c r="D49" s="149">
        <f>D29</f>
        <v>798.45</v>
      </c>
      <c r="E49" s="149">
        <f>E29</f>
        <v>798.45</v>
      </c>
      <c r="F49" s="149">
        <f>F29</f>
        <v>798.45</v>
      </c>
      <c r="G49" s="150">
        <f>G29</f>
        <v>798.45</v>
      </c>
    </row>
    <row r="50" spans="1:7" s="30" customFormat="1" ht="15.75" customHeight="1" x14ac:dyDescent="0.25">
      <c r="A50" s="272" t="s">
        <v>201</v>
      </c>
      <c r="B50" s="203" t="s">
        <v>139</v>
      </c>
      <c r="C50" s="267"/>
      <c r="D50" s="149">
        <f>D40</f>
        <v>1805.3</v>
      </c>
      <c r="E50" s="149">
        <f>E40</f>
        <v>1805.3</v>
      </c>
      <c r="F50" s="149">
        <f>F40</f>
        <v>1805.3</v>
      </c>
      <c r="G50" s="150">
        <f>G40</f>
        <v>1805.3</v>
      </c>
    </row>
    <row r="51" spans="1:7" s="30" customFormat="1" ht="15.75" customHeight="1" x14ac:dyDescent="0.25">
      <c r="A51" s="272" t="s">
        <v>202</v>
      </c>
      <c r="B51" s="203" t="s">
        <v>140</v>
      </c>
      <c r="C51" s="267"/>
      <c r="D51" s="149">
        <f>D47</f>
        <v>677.29</v>
      </c>
      <c r="E51" s="149">
        <f>E47</f>
        <v>817.01</v>
      </c>
      <c r="F51" s="149">
        <f>F47</f>
        <v>677.29</v>
      </c>
      <c r="G51" s="150">
        <f>G47</f>
        <v>817.01</v>
      </c>
    </row>
    <row r="52" spans="1:7" s="30" customFormat="1" ht="15.75" customHeight="1" x14ac:dyDescent="0.25">
      <c r="A52" s="313" t="s">
        <v>146</v>
      </c>
      <c r="B52" s="314"/>
      <c r="C52" s="314"/>
      <c r="D52" s="165">
        <f>SUM(D49:D51)</f>
        <v>3281.04</v>
      </c>
      <c r="E52" s="165">
        <f>SUM(E49:E51)</f>
        <v>3420.76</v>
      </c>
      <c r="F52" s="165">
        <f>SUM(F49:F51)</f>
        <v>3281.04</v>
      </c>
      <c r="G52" s="166">
        <f>SUM(G49:G51)</f>
        <v>3420.76</v>
      </c>
    </row>
    <row r="53" spans="1:7" s="30" customFormat="1" ht="15.75" customHeight="1" x14ac:dyDescent="0.25">
      <c r="A53" s="317" t="s">
        <v>155</v>
      </c>
      <c r="B53" s="318"/>
      <c r="C53" s="318"/>
      <c r="D53" s="167"/>
      <c r="E53" s="167"/>
      <c r="F53" s="167"/>
      <c r="G53" s="168"/>
    </row>
    <row r="54" spans="1:7" s="30" customFormat="1" ht="15.75" customHeight="1" x14ac:dyDescent="0.25">
      <c r="A54" s="266" t="s">
        <v>192</v>
      </c>
      <c r="B54" s="309" t="s">
        <v>32</v>
      </c>
      <c r="C54" s="310"/>
      <c r="D54" s="169" t="s">
        <v>10</v>
      </c>
      <c r="E54" s="169" t="s">
        <v>10</v>
      </c>
      <c r="F54" s="169" t="s">
        <v>10</v>
      </c>
      <c r="G54" s="170" t="s">
        <v>10</v>
      </c>
    </row>
    <row r="55" spans="1:7" s="30" customFormat="1" ht="15.75" customHeight="1" x14ac:dyDescent="0.25">
      <c r="A55" s="171" t="s">
        <v>0</v>
      </c>
      <c r="B55" s="172" t="s">
        <v>33</v>
      </c>
      <c r="C55" s="173">
        <v>4.5999999999999999E-3</v>
      </c>
      <c r="D55" s="174">
        <f>D$24*C55</f>
        <v>18.89</v>
      </c>
      <c r="E55" s="174">
        <f>E$24*C55</f>
        <v>18.89</v>
      </c>
      <c r="F55" s="174">
        <f>F$24*C55</f>
        <v>18.89</v>
      </c>
      <c r="G55" s="175">
        <f>G$24*C55</f>
        <v>18.89</v>
      </c>
    </row>
    <row r="56" spans="1:7" s="30" customFormat="1" ht="15.75" customHeight="1" x14ac:dyDescent="0.25">
      <c r="A56" s="171" t="s">
        <v>2</v>
      </c>
      <c r="B56" s="172" t="s">
        <v>34</v>
      </c>
      <c r="C56" s="173">
        <v>4.0000000000000002E-4</v>
      </c>
      <c r="D56" s="174">
        <f>D$24*C56</f>
        <v>1.64</v>
      </c>
      <c r="E56" s="174">
        <f>E$24*C56</f>
        <v>1.64</v>
      </c>
      <c r="F56" s="174">
        <f>F$24*C56</f>
        <v>1.64</v>
      </c>
      <c r="G56" s="175">
        <f>G$24*C56</f>
        <v>1.64</v>
      </c>
    </row>
    <row r="57" spans="1:7" s="30" customFormat="1" ht="15.75" customHeight="1" x14ac:dyDescent="0.25">
      <c r="A57" s="171" t="s">
        <v>3</v>
      </c>
      <c r="B57" s="172" t="s">
        <v>35</v>
      </c>
      <c r="C57" s="173">
        <v>1.9400000000000001E-2</v>
      </c>
      <c r="D57" s="174">
        <f>D$24*C57</f>
        <v>79.680000000000007</v>
      </c>
      <c r="E57" s="174">
        <f>E$24*C57</f>
        <v>79.680000000000007</v>
      </c>
      <c r="F57" s="174">
        <f>F$24*C57</f>
        <v>79.680000000000007</v>
      </c>
      <c r="G57" s="175">
        <f>G$24*C57</f>
        <v>79.680000000000007</v>
      </c>
    </row>
    <row r="58" spans="1:7" s="30" customFormat="1" ht="30" customHeight="1" x14ac:dyDescent="0.25">
      <c r="A58" s="171" t="s">
        <v>5</v>
      </c>
      <c r="B58" s="204" t="s">
        <v>309</v>
      </c>
      <c r="C58" s="173">
        <v>7.7000000000000002E-3</v>
      </c>
      <c r="D58" s="174">
        <f>D$24*C58</f>
        <v>31.63</v>
      </c>
      <c r="E58" s="174">
        <f>E$24*C58</f>
        <v>31.63</v>
      </c>
      <c r="F58" s="174">
        <f>F$24*C58</f>
        <v>31.63</v>
      </c>
      <c r="G58" s="175">
        <f>G$24*C58</f>
        <v>31.63</v>
      </c>
    </row>
    <row r="59" spans="1:7" s="30" customFormat="1" ht="32.25" customHeight="1" x14ac:dyDescent="0.25">
      <c r="A59" s="171" t="s">
        <v>20</v>
      </c>
      <c r="B59" s="172" t="s">
        <v>205</v>
      </c>
      <c r="C59" s="173">
        <v>0.04</v>
      </c>
      <c r="D59" s="174">
        <f>D$24*C59</f>
        <v>164.29</v>
      </c>
      <c r="E59" s="174">
        <f>E$24*C59</f>
        <v>164.29</v>
      </c>
      <c r="F59" s="174">
        <f>F$24*C59</f>
        <v>164.29</v>
      </c>
      <c r="G59" s="175">
        <f>G$24*C59</f>
        <v>164.29</v>
      </c>
    </row>
    <row r="60" spans="1:7" s="30" customFormat="1" ht="15.75" customHeight="1" x14ac:dyDescent="0.25">
      <c r="A60" s="313" t="s">
        <v>147</v>
      </c>
      <c r="B60" s="314"/>
      <c r="C60" s="274">
        <f>SUM(C55:C59)</f>
        <v>7.2099999999999997E-2</v>
      </c>
      <c r="D60" s="165">
        <f>SUM(D55:D59)</f>
        <v>296.13</v>
      </c>
      <c r="E60" s="165">
        <f>SUM(E55:E59)</f>
        <v>296.13</v>
      </c>
      <c r="F60" s="165">
        <f>SUM(F55:F59)</f>
        <v>296.13</v>
      </c>
      <c r="G60" s="166">
        <f>SUM(G55:G59)</f>
        <v>296.13</v>
      </c>
    </row>
    <row r="61" spans="1:7" s="30" customFormat="1" x14ac:dyDescent="0.25">
      <c r="A61" s="317" t="s">
        <v>156</v>
      </c>
      <c r="B61" s="318"/>
      <c r="C61" s="318"/>
      <c r="D61" s="167"/>
      <c r="E61" s="167"/>
      <c r="F61" s="167"/>
      <c r="G61" s="168"/>
    </row>
    <row r="62" spans="1:7" s="30" customFormat="1" x14ac:dyDescent="0.25">
      <c r="A62" s="266" t="s">
        <v>191</v>
      </c>
      <c r="B62" s="347" t="s">
        <v>36</v>
      </c>
      <c r="C62" s="347"/>
      <c r="D62" s="169" t="s">
        <v>10</v>
      </c>
      <c r="E62" s="169" t="s">
        <v>10</v>
      </c>
      <c r="F62" s="169" t="s">
        <v>10</v>
      </c>
      <c r="G62" s="170" t="s">
        <v>10</v>
      </c>
    </row>
    <row r="63" spans="1:7" s="30" customFormat="1" x14ac:dyDescent="0.25">
      <c r="A63" s="171" t="s">
        <v>0</v>
      </c>
      <c r="B63" s="172" t="s">
        <v>184</v>
      </c>
      <c r="C63" s="173">
        <f>C28/12</f>
        <v>9.2999999999999992E-3</v>
      </c>
      <c r="D63" s="174">
        <f>(D$24+D$52+D$60+D$84)*C63</f>
        <v>71.78</v>
      </c>
      <c r="E63" s="174">
        <f t="shared" ref="E63:E68" si="4">(E$24+E$52+E$60+E$84)*C63</f>
        <v>73.08</v>
      </c>
      <c r="F63" s="174">
        <f t="shared" ref="F63:F67" si="5">(F$24+F$52+F$60+F$84)*C63</f>
        <v>71.78</v>
      </c>
      <c r="G63" s="175">
        <f t="shared" ref="G63:G68" si="6">(G$24+G$52+G$60+G$84)*C63</f>
        <v>73.08</v>
      </c>
    </row>
    <row r="64" spans="1:7" s="30" customFormat="1" x14ac:dyDescent="0.25">
      <c r="A64" s="171" t="s">
        <v>2</v>
      </c>
      <c r="B64" s="172" t="s">
        <v>185</v>
      </c>
      <c r="C64" s="173">
        <v>1.3899999999999999E-2</v>
      </c>
      <c r="D64" s="174">
        <f t="shared" ref="D64:D68" si="7">(D$24+D$52+D$60+D$84)*C64</f>
        <v>107.29</v>
      </c>
      <c r="E64" s="174">
        <f>(E$24+E$52+E$60+E$84)*C64</f>
        <v>109.23</v>
      </c>
      <c r="F64" s="174">
        <f>(F$24+F$52+F$60+F$84)*C64</f>
        <v>107.29</v>
      </c>
      <c r="G64" s="175">
        <f t="shared" si="6"/>
        <v>109.23</v>
      </c>
    </row>
    <row r="65" spans="1:7" s="30" customFormat="1" x14ac:dyDescent="0.25">
      <c r="A65" s="171" t="s">
        <v>3</v>
      </c>
      <c r="B65" s="172" t="s">
        <v>188</v>
      </c>
      <c r="C65" s="173">
        <v>1.2999999999999999E-3</v>
      </c>
      <c r="D65" s="174">
        <f t="shared" si="7"/>
        <v>10.029999999999999</v>
      </c>
      <c r="E65" s="174">
        <f t="shared" si="4"/>
        <v>10.220000000000001</v>
      </c>
      <c r="F65" s="174">
        <f t="shared" si="5"/>
        <v>10.029999999999999</v>
      </c>
      <c r="G65" s="175">
        <f>(G$24+G$52+G$60+G$84)*C65</f>
        <v>10.220000000000001</v>
      </c>
    </row>
    <row r="66" spans="1:7" s="30" customFormat="1" x14ac:dyDescent="0.25">
      <c r="A66" s="171" t="s">
        <v>5</v>
      </c>
      <c r="B66" s="172" t="s">
        <v>186</v>
      </c>
      <c r="C66" s="173">
        <v>2.0000000000000001E-4</v>
      </c>
      <c r="D66" s="174">
        <f t="shared" si="7"/>
        <v>1.54</v>
      </c>
      <c r="E66" s="174">
        <f t="shared" si="4"/>
        <v>1.57</v>
      </c>
      <c r="F66" s="174">
        <f t="shared" si="5"/>
        <v>1.54</v>
      </c>
      <c r="G66" s="175">
        <f t="shared" si="6"/>
        <v>1.57</v>
      </c>
    </row>
    <row r="67" spans="1:7" s="30" customFormat="1" x14ac:dyDescent="0.25">
      <c r="A67" s="171" t="s">
        <v>20</v>
      </c>
      <c r="B67" s="172" t="s">
        <v>297</v>
      </c>
      <c r="C67" s="173">
        <v>2.8E-3</v>
      </c>
      <c r="D67" s="174">
        <f t="shared" si="7"/>
        <v>21.61</v>
      </c>
      <c r="E67" s="174">
        <f t="shared" si="4"/>
        <v>22</v>
      </c>
      <c r="F67" s="174">
        <f t="shared" si="5"/>
        <v>21.61</v>
      </c>
      <c r="G67" s="175">
        <f>(G$24+G$52+G$60+G$84)*C67</f>
        <v>22</v>
      </c>
    </row>
    <row r="68" spans="1:7" s="30" customFormat="1" x14ac:dyDescent="0.25">
      <c r="A68" s="171" t="s">
        <v>21</v>
      </c>
      <c r="B68" s="172" t="s">
        <v>187</v>
      </c>
      <c r="C68" s="173">
        <v>2.9999999999999997E-4</v>
      </c>
      <c r="D68" s="174">
        <f t="shared" si="7"/>
        <v>2.3199999999999998</v>
      </c>
      <c r="E68" s="174">
        <f t="shared" si="4"/>
        <v>2.36</v>
      </c>
      <c r="F68" s="174">
        <f>(F$24+F$52+F$60+F$84)*C68</f>
        <v>2.3199999999999998</v>
      </c>
      <c r="G68" s="175">
        <f t="shared" si="6"/>
        <v>2.36</v>
      </c>
    </row>
    <row r="69" spans="1:7" s="30" customFormat="1" ht="15.75" customHeight="1" x14ac:dyDescent="0.25">
      <c r="A69" s="171" t="s">
        <v>22</v>
      </c>
      <c r="B69" s="265" t="s">
        <v>189</v>
      </c>
      <c r="C69" s="173">
        <v>0</v>
      </c>
      <c r="D69" s="174">
        <f t="shared" ref="D69" si="8">(D$24+D$52+D$60+D$84)*C69</f>
        <v>0</v>
      </c>
      <c r="E69" s="174">
        <f>(E$24+E$52+E$60+E$84)*C69</f>
        <v>0</v>
      </c>
      <c r="F69" s="174">
        <f t="shared" ref="F69" si="9">(F$24+F$52+F$60+F$84)*C69</f>
        <v>0</v>
      </c>
      <c r="G69" s="175">
        <f t="shared" ref="G69" si="10">(G$24+G$52+G$60+G$84)*C69</f>
        <v>0</v>
      </c>
    </row>
    <row r="70" spans="1:7" s="30" customFormat="1" x14ac:dyDescent="0.25">
      <c r="A70" s="322" t="s">
        <v>29</v>
      </c>
      <c r="B70" s="323"/>
      <c r="C70" s="184">
        <f>SUM(C63:C69)</f>
        <v>2.7799999999999998E-2</v>
      </c>
      <c r="D70" s="185">
        <f>SUM(D63:D69)</f>
        <v>214.57</v>
      </c>
      <c r="E70" s="185">
        <f>SUM(E63:E69)</f>
        <v>218.46</v>
      </c>
      <c r="F70" s="185">
        <f>SUM(F63:F69)</f>
        <v>214.57</v>
      </c>
      <c r="G70" s="186">
        <f>SUM(G63:G69)</f>
        <v>218.46</v>
      </c>
    </row>
    <row r="71" spans="1:7" s="30" customFormat="1" x14ac:dyDescent="0.25">
      <c r="A71" s="272"/>
      <c r="B71" s="267"/>
      <c r="C71" s="205"/>
      <c r="D71" s="205"/>
      <c r="E71" s="206"/>
      <c r="F71" s="206"/>
      <c r="G71" s="207"/>
    </row>
    <row r="72" spans="1:7" s="30" customFormat="1" x14ac:dyDescent="0.25">
      <c r="A72" s="272"/>
      <c r="B72" s="336" t="s">
        <v>193</v>
      </c>
      <c r="C72" s="352"/>
      <c r="D72" s="169" t="s">
        <v>10</v>
      </c>
      <c r="E72" s="169" t="s">
        <v>10</v>
      </c>
      <c r="F72" s="169" t="s">
        <v>10</v>
      </c>
      <c r="G72" s="170" t="s">
        <v>10</v>
      </c>
    </row>
    <row r="73" spans="1:7" s="30" customFormat="1" x14ac:dyDescent="0.25">
      <c r="A73" s="195" t="s">
        <v>0</v>
      </c>
      <c r="B73" s="261" t="s">
        <v>194</v>
      </c>
      <c r="C73" s="208">
        <v>0</v>
      </c>
      <c r="D73" s="153">
        <f>$C$23*C73</f>
        <v>0</v>
      </c>
      <c r="E73" s="153">
        <f>$C$23*C73</f>
        <v>0</v>
      </c>
      <c r="F73" s="153">
        <f>$C$23*C73</f>
        <v>0</v>
      </c>
      <c r="G73" s="154">
        <f>$C$23*C73</f>
        <v>0</v>
      </c>
    </row>
    <row r="74" spans="1:7" s="30" customFormat="1" ht="15.75" customHeight="1" x14ac:dyDescent="0.25">
      <c r="A74" s="322" t="s">
        <v>27</v>
      </c>
      <c r="B74" s="323"/>
      <c r="C74" s="209">
        <v>0</v>
      </c>
      <c r="D74" s="71">
        <f>D73</f>
        <v>0</v>
      </c>
      <c r="E74" s="71">
        <f>E73</f>
        <v>0</v>
      </c>
      <c r="F74" s="71">
        <f>F73</f>
        <v>0</v>
      </c>
      <c r="G74" s="72">
        <f>G73</f>
        <v>0</v>
      </c>
    </row>
    <row r="75" spans="1:7" s="30" customFormat="1" ht="15.75" customHeight="1" x14ac:dyDescent="0.25">
      <c r="A75" s="317" t="s">
        <v>30</v>
      </c>
      <c r="B75" s="318"/>
      <c r="C75" s="318"/>
      <c r="D75" s="167"/>
      <c r="E75" s="167"/>
      <c r="F75" s="167"/>
      <c r="G75" s="168"/>
    </row>
    <row r="76" spans="1:7" s="30" customFormat="1" ht="15.75" customHeight="1" x14ac:dyDescent="0.25">
      <c r="A76" s="348" t="s">
        <v>195</v>
      </c>
      <c r="B76" s="349"/>
      <c r="C76" s="349"/>
      <c r="D76" s="210"/>
      <c r="E76" s="210"/>
      <c r="F76" s="210"/>
      <c r="G76" s="211"/>
    </row>
    <row r="77" spans="1:7" s="30" customFormat="1" ht="15.75" customHeight="1" x14ac:dyDescent="0.25">
      <c r="A77" s="266">
        <v>4</v>
      </c>
      <c r="B77" s="309" t="s">
        <v>206</v>
      </c>
      <c r="C77" s="310"/>
      <c r="D77" s="169" t="s">
        <v>10</v>
      </c>
      <c r="E77" s="169" t="s">
        <v>10</v>
      </c>
      <c r="F77" s="169" t="s">
        <v>10</v>
      </c>
      <c r="G77" s="170" t="s">
        <v>10</v>
      </c>
    </row>
    <row r="78" spans="1:7" s="30" customFormat="1" ht="15.75" customHeight="1" x14ac:dyDescent="0.25">
      <c r="A78" s="171" t="s">
        <v>191</v>
      </c>
      <c r="B78" s="172" t="s">
        <v>190</v>
      </c>
      <c r="C78" s="173">
        <f>C70</f>
        <v>2.7799999999999998E-2</v>
      </c>
      <c r="D78" s="174">
        <f>D70</f>
        <v>214.57</v>
      </c>
      <c r="E78" s="174">
        <f>E70</f>
        <v>218.46</v>
      </c>
      <c r="F78" s="174">
        <f>F70</f>
        <v>214.57</v>
      </c>
      <c r="G78" s="175">
        <f>G70</f>
        <v>218.46</v>
      </c>
    </row>
    <row r="79" spans="1:7" s="30" customFormat="1" ht="15.75" customHeight="1" x14ac:dyDescent="0.25">
      <c r="A79" s="171" t="s">
        <v>207</v>
      </c>
      <c r="B79" s="172" t="s">
        <v>193</v>
      </c>
      <c r="C79" s="173">
        <v>0</v>
      </c>
      <c r="D79" s="174">
        <f>(D$24+D$52+D$60)*C79</f>
        <v>0</v>
      </c>
      <c r="E79" s="174">
        <f>(E$24+E$52+E$60)*C79</f>
        <v>0</v>
      </c>
      <c r="F79" s="174">
        <f>(F$24+F$52+F$60)*C79</f>
        <v>0</v>
      </c>
      <c r="G79" s="175">
        <f>(G$24+G$52+G$60)*C79</f>
        <v>0</v>
      </c>
    </row>
    <row r="80" spans="1:7" s="30" customFormat="1" ht="15.75" customHeight="1" x14ac:dyDescent="0.25">
      <c r="A80" s="322" t="s">
        <v>27</v>
      </c>
      <c r="B80" s="323"/>
      <c r="C80" s="176">
        <f>SUM(C78:C79)</f>
        <v>2.7799999999999998E-2</v>
      </c>
      <c r="D80" s="177">
        <f>SUM(D78:D79)</f>
        <v>214.57</v>
      </c>
      <c r="E80" s="177">
        <f>SUM(E78:E79)</f>
        <v>218.46</v>
      </c>
      <c r="F80" s="177">
        <f>SUM(F78:F79)</f>
        <v>214.57</v>
      </c>
      <c r="G80" s="178">
        <f>SUM(G78:G79)</f>
        <v>218.46</v>
      </c>
    </row>
    <row r="81" spans="1:7" s="30" customFormat="1" ht="15.75" customHeight="1" x14ac:dyDescent="0.25">
      <c r="A81" s="313" t="s">
        <v>148</v>
      </c>
      <c r="B81" s="314"/>
      <c r="C81" s="314"/>
      <c r="D81" s="165">
        <f>SUM(D74+D80)</f>
        <v>214.57</v>
      </c>
      <c r="E81" s="165">
        <f>SUM(E74+E80)</f>
        <v>218.46</v>
      </c>
      <c r="F81" s="165">
        <f>SUM(F74+F80)</f>
        <v>214.57</v>
      </c>
      <c r="G81" s="166">
        <f>SUM(G74+G80)</f>
        <v>218.46</v>
      </c>
    </row>
    <row r="82" spans="1:7" s="30" customFormat="1" ht="15.75" customHeight="1" x14ac:dyDescent="0.25">
      <c r="A82" s="311" t="s">
        <v>157</v>
      </c>
      <c r="B82" s="312"/>
      <c r="C82" s="312"/>
      <c r="D82" s="212"/>
      <c r="E82" s="212"/>
      <c r="F82" s="212"/>
      <c r="G82" s="213"/>
    </row>
    <row r="83" spans="1:7" s="30" customFormat="1" ht="15.75" customHeight="1" x14ac:dyDescent="0.25">
      <c r="A83" s="266">
        <v>5</v>
      </c>
      <c r="B83" s="309" t="s">
        <v>24</v>
      </c>
      <c r="C83" s="310"/>
      <c r="D83" s="169" t="s">
        <v>10</v>
      </c>
      <c r="E83" s="169" t="s">
        <v>10</v>
      </c>
      <c r="F83" s="169" t="s">
        <v>10</v>
      </c>
      <c r="G83" s="170" t="s">
        <v>10</v>
      </c>
    </row>
    <row r="84" spans="1:7" s="30" customFormat="1" ht="15.75" customHeight="1" x14ac:dyDescent="0.25">
      <c r="A84" s="171" t="s">
        <v>0</v>
      </c>
      <c r="B84" s="315" t="s">
        <v>208</v>
      </c>
      <c r="C84" s="315"/>
      <c r="D84" s="214">
        <f>Uniformes!H7</f>
        <v>33.93</v>
      </c>
      <c r="E84" s="214">
        <f>Uniformes!H7</f>
        <v>33.93</v>
      </c>
      <c r="F84" s="214">
        <f>Uniformes!H7</f>
        <v>33.93</v>
      </c>
      <c r="G84" s="215">
        <f>Uniformes!H7</f>
        <v>33.93</v>
      </c>
    </row>
    <row r="85" spans="1:7" s="30" customFormat="1" ht="15.75" customHeight="1" x14ac:dyDescent="0.25">
      <c r="A85" s="171" t="s">
        <v>2</v>
      </c>
      <c r="B85" s="315" t="s">
        <v>209</v>
      </c>
      <c r="C85" s="315"/>
      <c r="D85" s="214">
        <f>Materiais!H18</f>
        <v>58.98</v>
      </c>
      <c r="E85" s="214">
        <f>Materiais!H19</f>
        <v>58.98</v>
      </c>
      <c r="F85" s="214">
        <f>Materiais!H20</f>
        <v>40.090000000000003</v>
      </c>
      <c r="G85" s="215">
        <f>Materiais!H21</f>
        <v>40.090000000000003</v>
      </c>
    </row>
    <row r="86" spans="1:7" s="30" customFormat="1" ht="15.75" customHeight="1" x14ac:dyDescent="0.25">
      <c r="A86" s="171" t="s">
        <v>3</v>
      </c>
      <c r="B86" s="315" t="s">
        <v>179</v>
      </c>
      <c r="C86" s="315"/>
      <c r="D86" s="214">
        <f>Equipamentos!H19</f>
        <v>1107.97</v>
      </c>
      <c r="E86" s="214">
        <f>Equipamentos!H20</f>
        <v>1107.97</v>
      </c>
      <c r="F86" s="214">
        <f>Equipamentos!H21</f>
        <v>765.63</v>
      </c>
      <c r="G86" s="215">
        <f>Equipamentos!H22</f>
        <v>765.63</v>
      </c>
    </row>
    <row r="87" spans="1:7" s="30" customFormat="1" ht="15.75" customHeight="1" x14ac:dyDescent="0.25">
      <c r="A87" s="171" t="s">
        <v>5</v>
      </c>
      <c r="B87" s="315" t="s">
        <v>132</v>
      </c>
      <c r="C87" s="315"/>
      <c r="D87" s="214">
        <v>0</v>
      </c>
      <c r="E87" s="214">
        <v>0</v>
      </c>
      <c r="F87" s="214">
        <v>0</v>
      </c>
      <c r="G87" s="215">
        <v>0</v>
      </c>
    </row>
    <row r="88" spans="1:7" s="30" customFormat="1" ht="15.75" customHeight="1" x14ac:dyDescent="0.25">
      <c r="A88" s="313" t="s">
        <v>149</v>
      </c>
      <c r="B88" s="314"/>
      <c r="C88" s="314"/>
      <c r="D88" s="216">
        <f>SUM(D84:D87)</f>
        <v>1200.8800000000001</v>
      </c>
      <c r="E88" s="216">
        <f>SUM(E84:E87)</f>
        <v>1200.8800000000001</v>
      </c>
      <c r="F88" s="216">
        <f>SUM(F84:F87)</f>
        <v>839.65</v>
      </c>
      <c r="G88" s="217">
        <f>SUM(G84:G87)</f>
        <v>839.65</v>
      </c>
    </row>
    <row r="89" spans="1:7" s="30" customFormat="1" ht="30" customHeight="1" x14ac:dyDescent="0.25">
      <c r="A89" s="311" t="s">
        <v>37</v>
      </c>
      <c r="B89" s="312"/>
      <c r="C89" s="312"/>
      <c r="D89" s="218">
        <f>D88+D81+D60+D52+D24</f>
        <v>9099.8799999999992</v>
      </c>
      <c r="E89" s="218">
        <f>E88+E81+E60+E52+E24</f>
        <v>9243.49</v>
      </c>
      <c r="F89" s="218">
        <f>F88+F81+F60+F52+F24</f>
        <v>8738.65</v>
      </c>
      <c r="G89" s="219">
        <f>G88+G81+G60+G52+G24</f>
        <v>8882.26</v>
      </c>
    </row>
    <row r="90" spans="1:7" s="30" customFormat="1" ht="19.5" customHeight="1" x14ac:dyDescent="0.25">
      <c r="A90" s="317" t="s">
        <v>158</v>
      </c>
      <c r="B90" s="318"/>
      <c r="C90" s="318"/>
      <c r="D90" s="167"/>
      <c r="E90" s="167"/>
      <c r="F90" s="167"/>
      <c r="G90" s="168"/>
    </row>
    <row r="91" spans="1:7" s="30" customFormat="1" x14ac:dyDescent="0.25">
      <c r="A91" s="266">
        <v>6</v>
      </c>
      <c r="B91" s="309" t="s">
        <v>38</v>
      </c>
      <c r="C91" s="316"/>
      <c r="D91" s="169" t="s">
        <v>10</v>
      </c>
      <c r="E91" s="169" t="s">
        <v>10</v>
      </c>
      <c r="F91" s="169" t="s">
        <v>10</v>
      </c>
      <c r="G91" s="170" t="s">
        <v>10</v>
      </c>
    </row>
    <row r="92" spans="1:7" s="30" customFormat="1" x14ac:dyDescent="0.25">
      <c r="A92" s="171" t="s">
        <v>0</v>
      </c>
      <c r="B92" s="172" t="s">
        <v>39</v>
      </c>
      <c r="C92" s="220">
        <v>0.05</v>
      </c>
      <c r="D92" s="174">
        <f>+D89*C92</f>
        <v>454.99</v>
      </c>
      <c r="E92" s="174">
        <f>+E89*C92</f>
        <v>462.17</v>
      </c>
      <c r="F92" s="174">
        <f>+F89*C92</f>
        <v>436.93</v>
      </c>
      <c r="G92" s="175">
        <f>+G89*C92</f>
        <v>444.11</v>
      </c>
    </row>
    <row r="93" spans="1:7" s="30" customFormat="1" x14ac:dyDescent="0.25">
      <c r="A93" s="171" t="s">
        <v>2</v>
      </c>
      <c r="B93" s="172" t="s">
        <v>40</v>
      </c>
      <c r="C93" s="220">
        <v>0.1</v>
      </c>
      <c r="D93" s="214">
        <f>(D89+D92)*C93</f>
        <v>955.49</v>
      </c>
      <c r="E93" s="214">
        <f>(E89+E92)*C93</f>
        <v>970.57</v>
      </c>
      <c r="F93" s="214">
        <f>(F89+F92)*C93</f>
        <v>917.56</v>
      </c>
      <c r="G93" s="215">
        <f>(G89+G92)*C93</f>
        <v>932.64</v>
      </c>
    </row>
    <row r="94" spans="1:7" s="30" customFormat="1" ht="30" x14ac:dyDescent="0.25">
      <c r="A94" s="171"/>
      <c r="B94" s="172" t="s">
        <v>47</v>
      </c>
      <c r="C94" s="173">
        <f>1-C101</f>
        <v>0.85750000000000004</v>
      </c>
      <c r="D94" s="174">
        <f>D89+D92+D93</f>
        <v>10510.36</v>
      </c>
      <c r="E94" s="174">
        <f>E89+E92+E93</f>
        <v>10676.23</v>
      </c>
      <c r="F94" s="174">
        <f>F89+F92+F93</f>
        <v>10093.14</v>
      </c>
      <c r="G94" s="175">
        <f>G89+G92+G93</f>
        <v>10259.01</v>
      </c>
    </row>
    <row r="95" spans="1:7" s="30" customFormat="1" x14ac:dyDescent="0.25">
      <c r="A95" s="171"/>
      <c r="B95" s="265"/>
      <c r="C95" s="40"/>
      <c r="D95" s="214">
        <f>D94/C94</f>
        <v>12256.98</v>
      </c>
      <c r="E95" s="214">
        <f>E94/C94</f>
        <v>12450.41</v>
      </c>
      <c r="F95" s="214">
        <f>F94/C94</f>
        <v>11770.43</v>
      </c>
      <c r="G95" s="215">
        <f>G94/C94</f>
        <v>11963.86</v>
      </c>
    </row>
    <row r="96" spans="1:7" s="30" customFormat="1" x14ac:dyDescent="0.25">
      <c r="A96" s="171" t="s">
        <v>3</v>
      </c>
      <c r="B96" s="265" t="s">
        <v>41</v>
      </c>
      <c r="C96" s="221">
        <f>C98+C99+C100</f>
        <v>0.14249999999999999</v>
      </c>
      <c r="D96" s="214"/>
      <c r="E96" s="214"/>
      <c r="F96" s="214"/>
      <c r="G96" s="215"/>
    </row>
    <row r="97" spans="1:7" s="30" customFormat="1" x14ac:dyDescent="0.25">
      <c r="A97" s="171" t="s">
        <v>289</v>
      </c>
      <c r="B97" s="265" t="s">
        <v>285</v>
      </c>
      <c r="C97" s="221">
        <f>C98+C99</f>
        <v>9.2499999999999999E-2</v>
      </c>
      <c r="D97" s="222"/>
      <c r="E97" s="222"/>
      <c r="F97" s="222"/>
      <c r="G97" s="223"/>
    </row>
    <row r="98" spans="1:7" s="30" customFormat="1" x14ac:dyDescent="0.25">
      <c r="A98" s="171" t="s">
        <v>290</v>
      </c>
      <c r="B98" s="172" t="s">
        <v>286</v>
      </c>
      <c r="C98" s="173">
        <v>1.6500000000000001E-2</v>
      </c>
      <c r="D98" s="174">
        <f>D95*C98</f>
        <v>202.24</v>
      </c>
      <c r="E98" s="174">
        <f>E95*C98</f>
        <v>205.43</v>
      </c>
      <c r="F98" s="174">
        <f>F95*C98</f>
        <v>194.21</v>
      </c>
      <c r="G98" s="175">
        <f>G95*C98</f>
        <v>197.4</v>
      </c>
    </row>
    <row r="99" spans="1:7" s="30" customFormat="1" x14ac:dyDescent="0.25">
      <c r="A99" s="171" t="s">
        <v>291</v>
      </c>
      <c r="B99" s="172" t="s">
        <v>287</v>
      </c>
      <c r="C99" s="173">
        <v>7.5999999999999998E-2</v>
      </c>
      <c r="D99" s="174">
        <f>D95*C99</f>
        <v>931.53</v>
      </c>
      <c r="E99" s="174">
        <f>E95*C99</f>
        <v>946.23</v>
      </c>
      <c r="F99" s="174">
        <f>F95*C99</f>
        <v>894.55</v>
      </c>
      <c r="G99" s="175">
        <f>G95*C99</f>
        <v>909.25</v>
      </c>
    </row>
    <row r="100" spans="1:7" s="30" customFormat="1" x14ac:dyDescent="0.25">
      <c r="A100" s="171" t="s">
        <v>292</v>
      </c>
      <c r="B100" s="172" t="s">
        <v>288</v>
      </c>
      <c r="C100" s="173">
        <v>0.05</v>
      </c>
      <c r="D100" s="174">
        <f>D95*C100</f>
        <v>612.85</v>
      </c>
      <c r="E100" s="174">
        <f>E95*C100</f>
        <v>622.52</v>
      </c>
      <c r="F100" s="174">
        <f>F95*C100</f>
        <v>588.52</v>
      </c>
      <c r="G100" s="175">
        <f>G95*C100</f>
        <v>598.19000000000005</v>
      </c>
    </row>
    <row r="101" spans="1:7" s="30" customFormat="1" x14ac:dyDescent="0.25">
      <c r="A101" s="266"/>
      <c r="B101" s="224" t="s">
        <v>42</v>
      </c>
      <c r="C101" s="225">
        <f>C96</f>
        <v>0.14249999999999999</v>
      </c>
      <c r="D101" s="226">
        <f>SUM(D98:D100)</f>
        <v>1746.62</v>
      </c>
      <c r="E101" s="226">
        <f>SUM(E98:E100)</f>
        <v>1774.18</v>
      </c>
      <c r="F101" s="226">
        <f>SUM(F98:F100)</f>
        <v>1677.28</v>
      </c>
      <c r="G101" s="227">
        <f>SUM(G98:G100)</f>
        <v>1704.84</v>
      </c>
    </row>
    <row r="102" spans="1:7" s="30" customFormat="1" ht="15.75" customHeight="1" x14ac:dyDescent="0.25">
      <c r="A102" s="322" t="s">
        <v>43</v>
      </c>
      <c r="B102" s="323"/>
      <c r="C102" s="323"/>
      <c r="D102" s="201">
        <f>SUM(D92:D93)+D101</f>
        <v>3157.1</v>
      </c>
      <c r="E102" s="201">
        <f>SUM(E92:E93)+E101</f>
        <v>3206.92</v>
      </c>
      <c r="F102" s="201">
        <f>SUM(F92:F93)+F101</f>
        <v>3031.77</v>
      </c>
      <c r="G102" s="202">
        <f>SUM(G92:G93)+G101</f>
        <v>3081.59</v>
      </c>
    </row>
    <row r="103" spans="1:7" s="30" customFormat="1" ht="15.75" customHeight="1" x14ac:dyDescent="0.25">
      <c r="A103" s="324" t="s">
        <v>44</v>
      </c>
      <c r="B103" s="325"/>
      <c r="C103" s="325"/>
      <c r="D103" s="228" t="s">
        <v>10</v>
      </c>
      <c r="E103" s="228" t="s">
        <v>10</v>
      </c>
      <c r="F103" s="228" t="s">
        <v>10</v>
      </c>
      <c r="G103" s="229" t="s">
        <v>10</v>
      </c>
    </row>
    <row r="104" spans="1:7" s="30" customFormat="1" x14ac:dyDescent="0.25">
      <c r="A104" s="171" t="s">
        <v>0</v>
      </c>
      <c r="B104" s="326" t="s">
        <v>45</v>
      </c>
      <c r="C104" s="326"/>
      <c r="D104" s="222">
        <f>D24</f>
        <v>4107.26</v>
      </c>
      <c r="E104" s="222">
        <f>E24</f>
        <v>4107.26</v>
      </c>
      <c r="F104" s="222">
        <f>F24</f>
        <v>4107.26</v>
      </c>
      <c r="G104" s="223">
        <f>G24</f>
        <v>4107.26</v>
      </c>
    </row>
    <row r="105" spans="1:7" s="30" customFormat="1" x14ac:dyDescent="0.25">
      <c r="A105" s="171" t="s">
        <v>2</v>
      </c>
      <c r="B105" s="326" t="s">
        <v>152</v>
      </c>
      <c r="C105" s="326"/>
      <c r="D105" s="222">
        <f>D52</f>
        <v>3281.04</v>
      </c>
      <c r="E105" s="222">
        <f>E52</f>
        <v>3420.76</v>
      </c>
      <c r="F105" s="222">
        <f>F52</f>
        <v>3281.04</v>
      </c>
      <c r="G105" s="223">
        <f>G52</f>
        <v>3420.76</v>
      </c>
    </row>
    <row r="106" spans="1:7" s="30" customFormat="1" x14ac:dyDescent="0.25">
      <c r="A106" s="171" t="s">
        <v>3</v>
      </c>
      <c r="B106" s="326" t="s">
        <v>150</v>
      </c>
      <c r="C106" s="326"/>
      <c r="D106" s="222">
        <f>D60</f>
        <v>296.13</v>
      </c>
      <c r="E106" s="222">
        <f>E60</f>
        <v>296.13</v>
      </c>
      <c r="F106" s="222">
        <f>F60</f>
        <v>296.13</v>
      </c>
      <c r="G106" s="223">
        <f>G60</f>
        <v>296.13</v>
      </c>
    </row>
    <row r="107" spans="1:7" s="30" customFormat="1" x14ac:dyDescent="0.25">
      <c r="A107" s="171" t="s">
        <v>5</v>
      </c>
      <c r="B107" s="326" t="s">
        <v>143</v>
      </c>
      <c r="C107" s="326"/>
      <c r="D107" s="222">
        <f>D81</f>
        <v>214.57</v>
      </c>
      <c r="E107" s="222">
        <f>E81</f>
        <v>218.46</v>
      </c>
      <c r="F107" s="222">
        <f>F81</f>
        <v>214.57</v>
      </c>
      <c r="G107" s="223">
        <f>G81</f>
        <v>218.46</v>
      </c>
    </row>
    <row r="108" spans="1:7" s="30" customFormat="1" x14ac:dyDescent="0.25">
      <c r="A108" s="171" t="s">
        <v>20</v>
      </c>
      <c r="B108" s="326" t="s">
        <v>151</v>
      </c>
      <c r="C108" s="326"/>
      <c r="D108" s="222">
        <f>D88</f>
        <v>1200.8800000000001</v>
      </c>
      <c r="E108" s="222">
        <f>E88</f>
        <v>1200.8800000000001</v>
      </c>
      <c r="F108" s="222">
        <f>F88</f>
        <v>839.65</v>
      </c>
      <c r="G108" s="223">
        <f>G88</f>
        <v>839.65</v>
      </c>
    </row>
    <row r="109" spans="1:7" s="30" customFormat="1" ht="15.75" customHeight="1" x14ac:dyDescent="0.25">
      <c r="A109" s="327" t="s">
        <v>295</v>
      </c>
      <c r="B109" s="328"/>
      <c r="C109" s="328"/>
      <c r="D109" s="169">
        <f>SUM(D104:D108)</f>
        <v>9099.8799999999992</v>
      </c>
      <c r="E109" s="169">
        <f>SUM(E104:E108)</f>
        <v>9243.49</v>
      </c>
      <c r="F109" s="169">
        <f>SUM(F104:F108)</f>
        <v>8738.65</v>
      </c>
      <c r="G109" s="170">
        <f>SUM(G104:G108)</f>
        <v>8882.26</v>
      </c>
    </row>
    <row r="110" spans="1:7" s="30" customFormat="1" x14ac:dyDescent="0.25">
      <c r="A110" s="171" t="s">
        <v>21</v>
      </c>
      <c r="B110" s="326" t="s">
        <v>154</v>
      </c>
      <c r="C110" s="326"/>
      <c r="D110" s="222">
        <f>D102</f>
        <v>3157.1</v>
      </c>
      <c r="E110" s="222">
        <f>E102</f>
        <v>3206.92</v>
      </c>
      <c r="F110" s="222">
        <f>F102</f>
        <v>3031.77</v>
      </c>
      <c r="G110" s="223">
        <f>G102</f>
        <v>3081.59</v>
      </c>
    </row>
    <row r="111" spans="1:7" s="30" customFormat="1" ht="16.5" customHeight="1" thickBot="1" x14ac:dyDescent="0.3">
      <c r="A111" s="319" t="s">
        <v>46</v>
      </c>
      <c r="B111" s="320"/>
      <c r="C111" s="320"/>
      <c r="D111" s="230">
        <f>SUM(D109:D110)</f>
        <v>12256.98</v>
      </c>
      <c r="E111" s="230">
        <f>SUM(E109:E110)</f>
        <v>12450.41</v>
      </c>
      <c r="F111" s="230">
        <f>SUM(F109:F110)</f>
        <v>11770.42</v>
      </c>
      <c r="G111" s="231">
        <f>SUM(G109:G110)</f>
        <v>11963.85</v>
      </c>
    </row>
    <row r="112" spans="1:7" x14ac:dyDescent="0.25">
      <c r="C112" s="31"/>
      <c r="D112" s="31"/>
      <c r="E112" s="31"/>
      <c r="F112" s="31"/>
      <c r="G112" s="31"/>
    </row>
    <row r="113" spans="2:7" x14ac:dyDescent="0.25">
      <c r="B113" s="28"/>
      <c r="C113" s="31"/>
      <c r="D113" s="31"/>
      <c r="E113" s="31"/>
      <c r="F113" s="31"/>
      <c r="G113" s="31"/>
    </row>
    <row r="114" spans="2:7" x14ac:dyDescent="0.25">
      <c r="B114" s="28"/>
      <c r="C114" s="31"/>
      <c r="D114" s="31"/>
      <c r="E114" s="31"/>
      <c r="F114" s="31"/>
      <c r="G114" s="31"/>
    </row>
    <row r="115" spans="2:7" x14ac:dyDescent="0.25">
      <c r="B115" s="28"/>
      <c r="C115" s="321"/>
      <c r="D115" s="321"/>
      <c r="E115" s="321"/>
      <c r="F115" s="321"/>
      <c r="G115" s="321"/>
    </row>
    <row r="116" spans="2:7" x14ac:dyDescent="0.25">
      <c r="B116" s="28"/>
      <c r="C116" s="31"/>
      <c r="D116" s="31"/>
      <c r="E116" s="31"/>
      <c r="F116" s="31"/>
      <c r="G116" s="31"/>
    </row>
    <row r="118" spans="2:7" x14ac:dyDescent="0.25">
      <c r="B118" s="36"/>
    </row>
    <row r="123" spans="2:7" x14ac:dyDescent="0.25">
      <c r="B123" s="28"/>
    </row>
  </sheetData>
  <mergeCells count="66">
    <mergeCell ref="A8:G8"/>
    <mergeCell ref="A9:G9"/>
    <mergeCell ref="A10:C10"/>
    <mergeCell ref="D12:G12"/>
    <mergeCell ref="A1:G1"/>
    <mergeCell ref="C3:G3"/>
    <mergeCell ref="C4:G4"/>
    <mergeCell ref="C5:G5"/>
    <mergeCell ref="C6:G6"/>
    <mergeCell ref="B72:C72"/>
    <mergeCell ref="A70:B70"/>
    <mergeCell ref="B31:C31"/>
    <mergeCell ref="A30:G30"/>
    <mergeCell ref="A60:B60"/>
    <mergeCell ref="A82:C82"/>
    <mergeCell ref="A40:B40"/>
    <mergeCell ref="A52:C52"/>
    <mergeCell ref="B54:C54"/>
    <mergeCell ref="B62:C62"/>
    <mergeCell ref="A47:C47"/>
    <mergeCell ref="A80:B80"/>
    <mergeCell ref="A81:C81"/>
    <mergeCell ref="A48:C48"/>
    <mergeCell ref="A53:C53"/>
    <mergeCell ref="A61:C61"/>
    <mergeCell ref="A75:C75"/>
    <mergeCell ref="A76:C76"/>
    <mergeCell ref="B41:C41"/>
    <mergeCell ref="A74:B74"/>
    <mergeCell ref="B77:C77"/>
    <mergeCell ref="A15:C15"/>
    <mergeCell ref="D10:G10"/>
    <mergeCell ref="A2:G2"/>
    <mergeCell ref="A29:B29"/>
    <mergeCell ref="A24:C24"/>
    <mergeCell ref="B26:C26"/>
    <mergeCell ref="A25:C25"/>
    <mergeCell ref="B16:C16"/>
    <mergeCell ref="D11:G11"/>
    <mergeCell ref="D13:G13"/>
    <mergeCell ref="D14:G14"/>
    <mergeCell ref="B11:C11"/>
    <mergeCell ref="B12:C12"/>
    <mergeCell ref="B13:C13"/>
    <mergeCell ref="B14:C14"/>
    <mergeCell ref="A7:G7"/>
    <mergeCell ref="A111:C111"/>
    <mergeCell ref="C115:G115"/>
    <mergeCell ref="A102:C102"/>
    <mergeCell ref="A103:C103"/>
    <mergeCell ref="B106:C106"/>
    <mergeCell ref="B110:C110"/>
    <mergeCell ref="B104:C104"/>
    <mergeCell ref="B105:C105"/>
    <mergeCell ref="A109:C109"/>
    <mergeCell ref="B107:C107"/>
    <mergeCell ref="B108:C108"/>
    <mergeCell ref="B83:C83"/>
    <mergeCell ref="A89:C89"/>
    <mergeCell ref="A88:C88"/>
    <mergeCell ref="B87:C87"/>
    <mergeCell ref="B91:C91"/>
    <mergeCell ref="A90:C90"/>
    <mergeCell ref="B84:C84"/>
    <mergeCell ref="B85:C85"/>
    <mergeCell ref="B86:C86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view="pageBreakPreview" topLeftCell="A31" zoomScaleNormal="115" zoomScaleSheetLayoutView="100" workbookViewId="0">
      <selection activeCell="D45" sqref="D45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6" width="15.7109375" style="32" customWidth="1"/>
    <col min="7" max="7" width="15.7109375" style="37" customWidth="1"/>
    <col min="8" max="8" width="9.140625" style="28" customWidth="1"/>
    <col min="9" max="16384" width="9.140625" style="28"/>
  </cols>
  <sheetData>
    <row r="1" spans="1:7" x14ac:dyDescent="0.25">
      <c r="A1" s="361"/>
      <c r="B1" s="362"/>
      <c r="C1" s="362"/>
      <c r="D1" s="362"/>
      <c r="E1" s="362"/>
      <c r="F1" s="362"/>
      <c r="G1" s="363"/>
    </row>
    <row r="2" spans="1:7" s="38" customFormat="1" ht="16.5" customHeight="1" x14ac:dyDescent="0.25">
      <c r="A2" s="333" t="s">
        <v>127</v>
      </c>
      <c r="B2" s="334"/>
      <c r="C2" s="334"/>
      <c r="D2" s="334"/>
      <c r="E2" s="334"/>
      <c r="F2" s="334"/>
      <c r="G2" s="335"/>
    </row>
    <row r="3" spans="1:7" s="38" customFormat="1" ht="15.75" customHeight="1" x14ac:dyDescent="0.25">
      <c r="A3" s="83" t="s">
        <v>0</v>
      </c>
      <c r="B3" s="145" t="s">
        <v>1</v>
      </c>
      <c r="C3" s="364">
        <v>2025</v>
      </c>
      <c r="D3" s="364"/>
      <c r="E3" s="364"/>
      <c r="F3" s="364"/>
      <c r="G3" s="365"/>
    </row>
    <row r="4" spans="1:7" s="38" customFormat="1" ht="45" customHeight="1" x14ac:dyDescent="0.25">
      <c r="A4" s="83" t="s">
        <v>2</v>
      </c>
      <c r="B4" s="145" t="s">
        <v>135</v>
      </c>
      <c r="C4" s="366" t="s">
        <v>248</v>
      </c>
      <c r="D4" s="366"/>
      <c r="E4" s="366"/>
      <c r="F4" s="366"/>
      <c r="G4" s="367"/>
    </row>
    <row r="5" spans="1:7" s="38" customFormat="1" ht="15.75" customHeight="1" x14ac:dyDescent="0.25">
      <c r="A5" s="83" t="s">
        <v>3</v>
      </c>
      <c r="B5" s="145" t="s">
        <v>4</v>
      </c>
      <c r="C5" s="368" t="s">
        <v>293</v>
      </c>
      <c r="D5" s="368"/>
      <c r="E5" s="368"/>
      <c r="F5" s="368"/>
      <c r="G5" s="369"/>
    </row>
    <row r="6" spans="1:7" s="38" customFormat="1" x14ac:dyDescent="0.25">
      <c r="A6" s="83" t="s">
        <v>5</v>
      </c>
      <c r="B6" s="145" t="s">
        <v>299</v>
      </c>
      <c r="C6" s="366">
        <v>12</v>
      </c>
      <c r="D6" s="366"/>
      <c r="E6" s="366"/>
      <c r="F6" s="366"/>
      <c r="G6" s="367"/>
    </row>
    <row r="7" spans="1:7" s="38" customFormat="1" x14ac:dyDescent="0.25">
      <c r="A7" s="344" t="s">
        <v>6</v>
      </c>
      <c r="B7" s="345"/>
      <c r="C7" s="345"/>
      <c r="D7" s="345"/>
      <c r="E7" s="345"/>
      <c r="F7" s="345"/>
      <c r="G7" s="346"/>
    </row>
    <row r="8" spans="1:7" s="38" customFormat="1" x14ac:dyDescent="0.25">
      <c r="A8" s="344" t="s">
        <v>7</v>
      </c>
      <c r="B8" s="345"/>
      <c r="C8" s="345"/>
      <c r="D8" s="345"/>
      <c r="E8" s="345"/>
      <c r="F8" s="345"/>
      <c r="G8" s="346"/>
    </row>
    <row r="9" spans="1:7" s="38" customFormat="1" ht="15.75" customHeight="1" x14ac:dyDescent="0.25">
      <c r="A9" s="344" t="s">
        <v>8</v>
      </c>
      <c r="B9" s="345"/>
      <c r="C9" s="345"/>
      <c r="D9" s="345"/>
      <c r="E9" s="345"/>
      <c r="F9" s="345"/>
      <c r="G9" s="346"/>
    </row>
    <row r="10" spans="1:7" s="38" customFormat="1" ht="30" customHeight="1" x14ac:dyDescent="0.25">
      <c r="A10" s="358" t="s">
        <v>9</v>
      </c>
      <c r="B10" s="331"/>
      <c r="C10" s="331"/>
      <c r="D10" s="370" t="s">
        <v>10</v>
      </c>
      <c r="E10" s="370"/>
      <c r="F10" s="370"/>
      <c r="G10" s="371"/>
    </row>
    <row r="11" spans="1:7" s="38" customFormat="1" ht="45" customHeight="1" x14ac:dyDescent="0.25">
      <c r="A11" s="83">
        <v>1</v>
      </c>
      <c r="B11" s="342" t="s">
        <v>128</v>
      </c>
      <c r="C11" s="342"/>
      <c r="D11" s="337" t="s">
        <v>249</v>
      </c>
      <c r="E11" s="337"/>
      <c r="F11" s="337"/>
      <c r="G11" s="338"/>
    </row>
    <row r="12" spans="1:7" s="38" customFormat="1" ht="30" customHeight="1" x14ac:dyDescent="0.25">
      <c r="A12" s="83">
        <v>2</v>
      </c>
      <c r="B12" s="342" t="s">
        <v>11</v>
      </c>
      <c r="C12" s="342"/>
      <c r="D12" s="359">
        <v>3500.06</v>
      </c>
      <c r="E12" s="359"/>
      <c r="F12" s="359"/>
      <c r="G12" s="360"/>
    </row>
    <row r="13" spans="1:7" s="38" customFormat="1" ht="15.75" customHeight="1" x14ac:dyDescent="0.25">
      <c r="A13" s="83">
        <v>3</v>
      </c>
      <c r="B13" s="342" t="s">
        <v>12</v>
      </c>
      <c r="C13" s="342"/>
      <c r="D13" s="337" t="s">
        <v>255</v>
      </c>
      <c r="E13" s="337"/>
      <c r="F13" s="337"/>
      <c r="G13" s="338"/>
    </row>
    <row r="14" spans="1:7" s="38" customFormat="1" x14ac:dyDescent="0.25">
      <c r="A14" s="83">
        <v>4</v>
      </c>
      <c r="B14" s="343" t="s">
        <v>13</v>
      </c>
      <c r="C14" s="343"/>
      <c r="D14" s="339">
        <v>45673</v>
      </c>
      <c r="E14" s="340"/>
      <c r="F14" s="340"/>
      <c r="G14" s="341"/>
    </row>
    <row r="15" spans="1:7" s="39" customFormat="1" ht="30" customHeight="1" x14ac:dyDescent="0.25">
      <c r="A15" s="329" t="s">
        <v>14</v>
      </c>
      <c r="B15" s="330"/>
      <c r="C15" s="330"/>
      <c r="D15" s="146" t="s">
        <v>251</v>
      </c>
      <c r="E15" s="147" t="s">
        <v>253</v>
      </c>
      <c r="F15" s="146" t="s">
        <v>252</v>
      </c>
      <c r="G15" s="148" t="s">
        <v>254</v>
      </c>
    </row>
    <row r="16" spans="1:7" s="39" customFormat="1" x14ac:dyDescent="0.25">
      <c r="A16" s="272">
        <v>1</v>
      </c>
      <c r="B16" s="336" t="s">
        <v>15</v>
      </c>
      <c r="C16" s="336"/>
      <c r="D16" s="149" t="s">
        <v>10</v>
      </c>
      <c r="E16" s="149" t="s">
        <v>10</v>
      </c>
      <c r="F16" s="149" t="s">
        <v>10</v>
      </c>
      <c r="G16" s="150" t="s">
        <v>10</v>
      </c>
    </row>
    <row r="17" spans="1:7" s="38" customFormat="1" ht="15.75" customHeight="1" x14ac:dyDescent="0.25">
      <c r="A17" s="151" t="s">
        <v>0</v>
      </c>
      <c r="B17" s="152" t="s">
        <v>16</v>
      </c>
      <c r="C17" s="269"/>
      <c r="D17" s="112">
        <f>D12</f>
        <v>3500.06</v>
      </c>
      <c r="E17" s="112">
        <f>D12</f>
        <v>3500.06</v>
      </c>
      <c r="F17" s="112">
        <f>D12</f>
        <v>3500.06</v>
      </c>
      <c r="G17" s="196">
        <f>D12</f>
        <v>3500.06</v>
      </c>
    </row>
    <row r="18" spans="1:7" s="38" customFormat="1" ht="15.75" customHeight="1" x14ac:dyDescent="0.25">
      <c r="A18" s="151" t="s">
        <v>2</v>
      </c>
      <c r="B18" s="152" t="s">
        <v>17</v>
      </c>
      <c r="C18" s="155"/>
      <c r="D18" s="192"/>
      <c r="E18" s="192"/>
      <c r="F18" s="192"/>
      <c r="G18" s="232"/>
    </row>
    <row r="19" spans="1:7" s="38" customFormat="1" ht="15.75" customHeight="1" x14ac:dyDescent="0.25">
      <c r="A19" s="151" t="s">
        <v>3</v>
      </c>
      <c r="B19" s="152" t="s">
        <v>18</v>
      </c>
      <c r="C19" s="158">
        <v>1518</v>
      </c>
      <c r="D19" s="192">
        <f>40%*C19</f>
        <v>607.20000000000005</v>
      </c>
      <c r="E19" s="192">
        <f>40%*C19</f>
        <v>607.20000000000005</v>
      </c>
      <c r="F19" s="192">
        <f>40%*C19</f>
        <v>607.20000000000005</v>
      </c>
      <c r="G19" s="232">
        <f>40%*C19</f>
        <v>607.20000000000005</v>
      </c>
    </row>
    <row r="20" spans="1:7" s="38" customFormat="1" ht="15.75" customHeight="1" x14ac:dyDescent="0.25">
      <c r="A20" s="151" t="s">
        <v>5</v>
      </c>
      <c r="B20" s="152" t="s">
        <v>19</v>
      </c>
      <c r="C20" s="155"/>
      <c r="D20" s="192">
        <f>((((D17+D19)/220)*20%)*8)*15.21</f>
        <v>454.34</v>
      </c>
      <c r="E20" s="192">
        <f>((((E17+E19)/220)*20%)*8)*15.21</f>
        <v>454.34</v>
      </c>
      <c r="F20" s="192">
        <f>((((F17+F19)/220)*20%)*8)*15.21</f>
        <v>454.34</v>
      </c>
      <c r="G20" s="232">
        <f>((((G17+G19)/220)*20%)*8)*15.21</f>
        <v>454.34</v>
      </c>
    </row>
    <row r="21" spans="1:7" s="38" customFormat="1" ht="15.75" customHeight="1" x14ac:dyDescent="0.25">
      <c r="A21" s="151" t="s">
        <v>20</v>
      </c>
      <c r="B21" s="152" t="s">
        <v>196</v>
      </c>
      <c r="C21" s="155"/>
      <c r="D21" s="192"/>
      <c r="E21" s="192"/>
      <c r="F21" s="192"/>
      <c r="G21" s="232"/>
    </row>
    <row r="22" spans="1:7" s="38" customFormat="1" x14ac:dyDescent="0.25">
      <c r="A22" s="151" t="s">
        <v>21</v>
      </c>
      <c r="B22" s="152" t="s">
        <v>133</v>
      </c>
      <c r="C22" s="161"/>
      <c r="D22" s="192"/>
      <c r="E22" s="192"/>
      <c r="F22" s="192"/>
      <c r="G22" s="232"/>
    </row>
    <row r="23" spans="1:7" s="38" customFormat="1" ht="15.75" customHeight="1" x14ac:dyDescent="0.25">
      <c r="A23" s="151" t="s">
        <v>22</v>
      </c>
      <c r="B23" s="164" t="s">
        <v>134</v>
      </c>
      <c r="C23" s="161"/>
      <c r="D23" s="192"/>
      <c r="E23" s="192"/>
      <c r="F23" s="192"/>
      <c r="G23" s="232"/>
    </row>
    <row r="24" spans="1:7" s="39" customFormat="1" ht="15.75" customHeight="1" x14ac:dyDescent="0.25">
      <c r="A24" s="313" t="s">
        <v>145</v>
      </c>
      <c r="B24" s="314"/>
      <c r="C24" s="314"/>
      <c r="D24" s="216">
        <f>SUM(D17:D23)</f>
        <v>4561.6000000000004</v>
      </c>
      <c r="E24" s="216">
        <f>SUM(E17:E23)</f>
        <v>4561.6000000000004</v>
      </c>
      <c r="F24" s="216">
        <f>SUM(F17:F23)</f>
        <v>4561.6000000000004</v>
      </c>
      <c r="G24" s="217">
        <f>SUM(G17:G23)</f>
        <v>4561.6000000000004</v>
      </c>
    </row>
    <row r="25" spans="1:7" s="39" customFormat="1" x14ac:dyDescent="0.25">
      <c r="A25" s="329" t="s">
        <v>48</v>
      </c>
      <c r="B25" s="330"/>
      <c r="C25" s="330"/>
      <c r="D25" s="233"/>
      <c r="E25" s="233"/>
      <c r="F25" s="233"/>
      <c r="G25" s="234"/>
    </row>
    <row r="26" spans="1:7" s="38" customFormat="1" x14ac:dyDescent="0.25">
      <c r="A26" s="266" t="s">
        <v>136</v>
      </c>
      <c r="B26" s="309" t="s">
        <v>197</v>
      </c>
      <c r="C26" s="316"/>
      <c r="D26" s="169" t="s">
        <v>10</v>
      </c>
      <c r="E26" s="169" t="s">
        <v>10</v>
      </c>
      <c r="F26" s="169" t="s">
        <v>10</v>
      </c>
      <c r="G26" s="170" t="s">
        <v>10</v>
      </c>
    </row>
    <row r="27" spans="1:7" s="38" customFormat="1" x14ac:dyDescent="0.25">
      <c r="A27" s="171" t="s">
        <v>0</v>
      </c>
      <c r="B27" s="172" t="s">
        <v>28</v>
      </c>
      <c r="C27" s="173">
        <f>1/12</f>
        <v>8.3299999999999999E-2</v>
      </c>
      <c r="D27" s="214">
        <f>(D24)*C27</f>
        <v>379.98</v>
      </c>
      <c r="E27" s="214">
        <f>(E24)*C27</f>
        <v>379.98</v>
      </c>
      <c r="F27" s="214">
        <f>(F24)*C27</f>
        <v>379.98</v>
      </c>
      <c r="G27" s="215">
        <f>(G24)*C27</f>
        <v>379.98</v>
      </c>
    </row>
    <row r="28" spans="1:7" s="38" customFormat="1" x14ac:dyDescent="0.25">
      <c r="A28" s="171" t="s">
        <v>2</v>
      </c>
      <c r="B28" s="172" t="s">
        <v>141</v>
      </c>
      <c r="C28" s="173">
        <v>0.1111</v>
      </c>
      <c r="D28" s="214">
        <f>(D24)*C28</f>
        <v>506.79</v>
      </c>
      <c r="E28" s="214">
        <f>(E24)*C28</f>
        <v>506.79</v>
      </c>
      <c r="F28" s="214">
        <f>(F24)*C28</f>
        <v>506.79</v>
      </c>
      <c r="G28" s="215">
        <f>(G24)*C28</f>
        <v>506.79</v>
      </c>
    </row>
    <row r="29" spans="1:7" x14ac:dyDescent="0.25">
      <c r="A29" s="322" t="s">
        <v>27</v>
      </c>
      <c r="B29" s="323"/>
      <c r="C29" s="176">
        <f>SUM(C27:C28)</f>
        <v>0.19439999999999999</v>
      </c>
      <c r="D29" s="71">
        <f>SUM(D27:D28)</f>
        <v>886.77</v>
      </c>
      <c r="E29" s="71">
        <f>SUM(E27:E28)</f>
        <v>886.77</v>
      </c>
      <c r="F29" s="71">
        <f>SUM(F27:F28)</f>
        <v>886.77</v>
      </c>
      <c r="G29" s="72">
        <f>SUM(G27:G28)</f>
        <v>886.77</v>
      </c>
    </row>
    <row r="30" spans="1:7" ht="32.25" customHeight="1" x14ac:dyDescent="0.25">
      <c r="A30" s="355" t="s">
        <v>182</v>
      </c>
      <c r="B30" s="356"/>
      <c r="C30" s="356"/>
      <c r="D30" s="356"/>
      <c r="E30" s="356"/>
      <c r="F30" s="356"/>
      <c r="G30" s="357"/>
    </row>
    <row r="31" spans="1:7" x14ac:dyDescent="0.25">
      <c r="A31" s="260" t="s">
        <v>136</v>
      </c>
      <c r="B31" s="353" t="s">
        <v>25</v>
      </c>
      <c r="C31" s="354"/>
      <c r="D31" s="218" t="s">
        <v>10</v>
      </c>
      <c r="E31" s="218" t="s">
        <v>10</v>
      </c>
      <c r="F31" s="218" t="s">
        <v>10</v>
      </c>
      <c r="G31" s="219" t="s">
        <v>10</v>
      </c>
    </row>
    <row r="32" spans="1:7" x14ac:dyDescent="0.25">
      <c r="A32" s="171" t="s">
        <v>0</v>
      </c>
      <c r="B32" s="180" t="s">
        <v>300</v>
      </c>
      <c r="C32" s="173">
        <v>0.2</v>
      </c>
      <c r="D32" s="214">
        <f t="shared" ref="D32:D39" si="0">($D$24+D$29)*C32</f>
        <v>1089.67</v>
      </c>
      <c r="E32" s="214">
        <f t="shared" ref="E32:E39" si="1">($E$24+E$29)*C32</f>
        <v>1089.67</v>
      </c>
      <c r="F32" s="214">
        <f t="shared" ref="F32:F39" si="2">($F$24+F$29)*C32</f>
        <v>1089.67</v>
      </c>
      <c r="G32" s="215">
        <f t="shared" ref="G32:G39" si="3">($G$24+G$29)*C32</f>
        <v>1089.67</v>
      </c>
    </row>
    <row r="33" spans="1:7" x14ac:dyDescent="0.25">
      <c r="A33" s="171" t="s">
        <v>2</v>
      </c>
      <c r="B33" s="180" t="s">
        <v>301</v>
      </c>
      <c r="C33" s="181">
        <v>2.5000000000000001E-2</v>
      </c>
      <c r="D33" s="214">
        <f t="shared" si="0"/>
        <v>136.21</v>
      </c>
      <c r="E33" s="214">
        <f t="shared" si="1"/>
        <v>136.21</v>
      </c>
      <c r="F33" s="214">
        <f t="shared" si="2"/>
        <v>136.21</v>
      </c>
      <c r="G33" s="215">
        <f t="shared" si="3"/>
        <v>136.21</v>
      </c>
    </row>
    <row r="34" spans="1:7" ht="45" x14ac:dyDescent="0.25">
      <c r="A34" s="171" t="s">
        <v>3</v>
      </c>
      <c r="B34" s="259" t="s">
        <v>302</v>
      </c>
      <c r="C34" s="181">
        <v>0.03</v>
      </c>
      <c r="D34" s="214">
        <f t="shared" si="0"/>
        <v>163.44999999999999</v>
      </c>
      <c r="E34" s="214">
        <f t="shared" si="1"/>
        <v>163.44999999999999</v>
      </c>
      <c r="F34" s="214">
        <f t="shared" si="2"/>
        <v>163.44999999999999</v>
      </c>
      <c r="G34" s="215">
        <f t="shared" si="3"/>
        <v>163.44999999999999</v>
      </c>
    </row>
    <row r="35" spans="1:7" x14ac:dyDescent="0.25">
      <c r="A35" s="171" t="s">
        <v>5</v>
      </c>
      <c r="B35" s="180" t="s">
        <v>303</v>
      </c>
      <c r="C35" s="181">
        <v>1.4999999999999999E-2</v>
      </c>
      <c r="D35" s="214">
        <f t="shared" si="0"/>
        <v>81.73</v>
      </c>
      <c r="E35" s="214">
        <f t="shared" si="1"/>
        <v>81.73</v>
      </c>
      <c r="F35" s="214">
        <f t="shared" si="2"/>
        <v>81.73</v>
      </c>
      <c r="G35" s="215">
        <f t="shared" si="3"/>
        <v>81.73</v>
      </c>
    </row>
    <row r="36" spans="1:7" x14ac:dyDescent="0.25">
      <c r="A36" s="171" t="s">
        <v>20</v>
      </c>
      <c r="B36" s="180" t="s">
        <v>304</v>
      </c>
      <c r="C36" s="181">
        <v>0.01</v>
      </c>
      <c r="D36" s="214">
        <f t="shared" si="0"/>
        <v>54.48</v>
      </c>
      <c r="E36" s="214">
        <f t="shared" si="1"/>
        <v>54.48</v>
      </c>
      <c r="F36" s="214">
        <f t="shared" si="2"/>
        <v>54.48</v>
      </c>
      <c r="G36" s="215">
        <f t="shared" si="3"/>
        <v>54.48</v>
      </c>
    </row>
    <row r="37" spans="1:7" x14ac:dyDescent="0.25">
      <c r="A37" s="171" t="s">
        <v>21</v>
      </c>
      <c r="B37" s="182" t="s">
        <v>200</v>
      </c>
      <c r="C37" s="181">
        <v>6.0000000000000001E-3</v>
      </c>
      <c r="D37" s="214">
        <f t="shared" si="0"/>
        <v>32.69</v>
      </c>
      <c r="E37" s="214">
        <f t="shared" si="1"/>
        <v>32.69</v>
      </c>
      <c r="F37" s="214">
        <f t="shared" si="2"/>
        <v>32.69</v>
      </c>
      <c r="G37" s="215">
        <f t="shared" si="3"/>
        <v>32.69</v>
      </c>
    </row>
    <row r="38" spans="1:7" ht="30" x14ac:dyDescent="0.25">
      <c r="A38" s="171" t="s">
        <v>22</v>
      </c>
      <c r="B38" s="259" t="s">
        <v>305</v>
      </c>
      <c r="C38" s="181">
        <v>2E-3</v>
      </c>
      <c r="D38" s="214">
        <f t="shared" si="0"/>
        <v>10.9</v>
      </c>
      <c r="E38" s="214">
        <f t="shared" si="1"/>
        <v>10.9</v>
      </c>
      <c r="F38" s="214">
        <f t="shared" si="2"/>
        <v>10.9</v>
      </c>
      <c r="G38" s="215">
        <f t="shared" si="3"/>
        <v>10.9</v>
      </c>
    </row>
    <row r="39" spans="1:7" x14ac:dyDescent="0.25">
      <c r="A39" s="171" t="s">
        <v>26</v>
      </c>
      <c r="B39" s="183" t="s">
        <v>199</v>
      </c>
      <c r="C39" s="181">
        <v>0.08</v>
      </c>
      <c r="D39" s="214">
        <f t="shared" si="0"/>
        <v>435.87</v>
      </c>
      <c r="E39" s="214">
        <f t="shared" si="1"/>
        <v>435.87</v>
      </c>
      <c r="F39" s="214">
        <f t="shared" si="2"/>
        <v>435.87</v>
      </c>
      <c r="G39" s="215">
        <f t="shared" si="3"/>
        <v>435.87</v>
      </c>
    </row>
    <row r="40" spans="1:7" s="30" customFormat="1" x14ac:dyDescent="0.25">
      <c r="A40" s="322" t="s">
        <v>27</v>
      </c>
      <c r="B40" s="323"/>
      <c r="C40" s="184">
        <f>SUM(C32:C39)</f>
        <v>0.36799999999999999</v>
      </c>
      <c r="D40" s="71">
        <f>SUM(D32:D39)</f>
        <v>2005</v>
      </c>
      <c r="E40" s="71">
        <f>SUM(E32:E39)</f>
        <v>2005</v>
      </c>
      <c r="F40" s="71">
        <f>SUM(F32:F39)</f>
        <v>2005</v>
      </c>
      <c r="G40" s="72">
        <f>SUM(G32:G39)</f>
        <v>2005</v>
      </c>
    </row>
    <row r="41" spans="1:7" s="30" customFormat="1" x14ac:dyDescent="0.25">
      <c r="A41" s="317" t="s">
        <v>166</v>
      </c>
      <c r="B41" s="318"/>
      <c r="C41" s="318"/>
      <c r="D41" s="167"/>
      <c r="E41" s="167"/>
      <c r="F41" s="167"/>
      <c r="G41" s="168"/>
    </row>
    <row r="42" spans="1:7" s="30" customFormat="1" x14ac:dyDescent="0.25">
      <c r="A42" s="187" t="s">
        <v>202</v>
      </c>
      <c r="B42" s="350" t="s">
        <v>203</v>
      </c>
      <c r="C42" s="351"/>
      <c r="D42" s="235" t="s">
        <v>10</v>
      </c>
      <c r="E42" s="235" t="s">
        <v>10</v>
      </c>
      <c r="F42" s="235" t="s">
        <v>10</v>
      </c>
      <c r="G42" s="188" t="s">
        <v>10</v>
      </c>
    </row>
    <row r="43" spans="1:7" s="30" customFormat="1" x14ac:dyDescent="0.25">
      <c r="A43" s="189" t="s">
        <v>0</v>
      </c>
      <c r="B43" s="190" t="s">
        <v>137</v>
      </c>
      <c r="C43" s="191"/>
      <c r="D43" s="236">
        <v>0</v>
      </c>
      <c r="E43" s="237">
        <v>139.72</v>
      </c>
      <c r="F43" s="236">
        <v>0</v>
      </c>
      <c r="G43" s="238">
        <v>139.72</v>
      </c>
    </row>
    <row r="44" spans="1:7" s="30" customFormat="1" x14ac:dyDescent="0.25">
      <c r="A44" s="195" t="s">
        <v>2</v>
      </c>
      <c r="B44" s="164" t="s">
        <v>183</v>
      </c>
      <c r="C44" s="159">
        <v>626.94000000000005</v>
      </c>
      <c r="D44" s="112">
        <f>C44-(C44*0.99%)</f>
        <v>620.73</v>
      </c>
      <c r="E44" s="112">
        <f>C44-(C44*0.99%)</f>
        <v>620.73</v>
      </c>
      <c r="F44" s="112">
        <f>C44-(C44*0.99%)</f>
        <v>620.73</v>
      </c>
      <c r="G44" s="196">
        <f>C44-(C44*0.99%)</f>
        <v>620.73</v>
      </c>
    </row>
    <row r="45" spans="1:7" s="30" customFormat="1" x14ac:dyDescent="0.25">
      <c r="A45" s="171" t="s">
        <v>3</v>
      </c>
      <c r="B45" s="172" t="s">
        <v>129</v>
      </c>
      <c r="C45" s="174"/>
      <c r="D45" s="198">
        <v>0</v>
      </c>
      <c r="E45" s="198">
        <v>0</v>
      </c>
      <c r="F45" s="198">
        <v>0</v>
      </c>
      <c r="G45" s="199">
        <v>0</v>
      </c>
    </row>
    <row r="46" spans="1:7" s="30" customFormat="1" x14ac:dyDescent="0.25">
      <c r="A46" s="171" t="s">
        <v>5</v>
      </c>
      <c r="B46" s="172" t="s">
        <v>130</v>
      </c>
      <c r="C46" s="173">
        <v>0.5</v>
      </c>
      <c r="D46" s="198">
        <f>(D17*C46*0.0199*2)/12</f>
        <v>5.8</v>
      </c>
      <c r="E46" s="198">
        <f>(E17*C46*0.0199*2)/12</f>
        <v>5.8</v>
      </c>
      <c r="F46" s="198">
        <f>(F17*C46*0.0199*2)/12</f>
        <v>5.8</v>
      </c>
      <c r="G46" s="199">
        <f>(G17*C46*0.0199*2)/12</f>
        <v>5.8</v>
      </c>
    </row>
    <row r="47" spans="1:7" s="30" customFormat="1" x14ac:dyDescent="0.25">
      <c r="A47" s="171" t="s">
        <v>20</v>
      </c>
      <c r="B47" s="172" t="s">
        <v>131</v>
      </c>
      <c r="C47" s="174"/>
      <c r="D47" s="277">
        <v>50.76</v>
      </c>
      <c r="E47" s="277">
        <v>50.76</v>
      </c>
      <c r="F47" s="277">
        <v>50.76</v>
      </c>
      <c r="G47" s="278">
        <v>50.76</v>
      </c>
    </row>
    <row r="48" spans="1:7" s="30" customFormat="1" ht="15.75" customHeight="1" x14ac:dyDescent="0.25">
      <c r="A48" s="322" t="s">
        <v>23</v>
      </c>
      <c r="B48" s="323"/>
      <c r="C48" s="323"/>
      <c r="D48" s="71">
        <f>SUM(D43:D47)</f>
        <v>677.29</v>
      </c>
      <c r="E48" s="71">
        <f>SUM(E43:E47)</f>
        <v>817.01</v>
      </c>
      <c r="F48" s="71">
        <f>SUM(F43:F47)</f>
        <v>677.29</v>
      </c>
      <c r="G48" s="72">
        <f>SUM(G43:G47)</f>
        <v>817.01</v>
      </c>
    </row>
    <row r="49" spans="1:7" s="30" customFormat="1" ht="15.75" customHeight="1" x14ac:dyDescent="0.25">
      <c r="A49" s="317" t="s">
        <v>210</v>
      </c>
      <c r="B49" s="318"/>
      <c r="C49" s="318"/>
      <c r="D49" s="167"/>
      <c r="E49" s="167"/>
      <c r="F49" s="167"/>
      <c r="G49" s="168"/>
    </row>
    <row r="50" spans="1:7" s="30" customFormat="1" ht="15.75" customHeight="1" x14ac:dyDescent="0.25">
      <c r="A50" s="272" t="s">
        <v>136</v>
      </c>
      <c r="B50" s="203" t="s">
        <v>138</v>
      </c>
      <c r="C50" s="267"/>
      <c r="D50" s="153">
        <f>D29</f>
        <v>886.77</v>
      </c>
      <c r="E50" s="153">
        <f>E29</f>
        <v>886.77</v>
      </c>
      <c r="F50" s="153">
        <f>F29</f>
        <v>886.77</v>
      </c>
      <c r="G50" s="154">
        <f>G29</f>
        <v>886.77</v>
      </c>
    </row>
    <row r="51" spans="1:7" s="30" customFormat="1" ht="15.75" customHeight="1" x14ac:dyDescent="0.25">
      <c r="A51" s="272" t="s">
        <v>201</v>
      </c>
      <c r="B51" s="203" t="s">
        <v>139</v>
      </c>
      <c r="C51" s="267"/>
      <c r="D51" s="153">
        <f>D40</f>
        <v>2005</v>
      </c>
      <c r="E51" s="153">
        <f>E40</f>
        <v>2005</v>
      </c>
      <c r="F51" s="153">
        <f>F40</f>
        <v>2005</v>
      </c>
      <c r="G51" s="154">
        <f>G40</f>
        <v>2005</v>
      </c>
    </row>
    <row r="52" spans="1:7" s="30" customFormat="1" ht="15.75" customHeight="1" x14ac:dyDescent="0.25">
      <c r="A52" s="272" t="s">
        <v>202</v>
      </c>
      <c r="B52" s="203" t="s">
        <v>140</v>
      </c>
      <c r="C52" s="267"/>
      <c r="D52" s="153">
        <f>D48</f>
        <v>677.29</v>
      </c>
      <c r="E52" s="153">
        <f>E48</f>
        <v>817.01</v>
      </c>
      <c r="F52" s="153">
        <f>F48</f>
        <v>677.29</v>
      </c>
      <c r="G52" s="154">
        <f>G48</f>
        <v>817.01</v>
      </c>
    </row>
    <row r="53" spans="1:7" s="30" customFormat="1" ht="15.75" customHeight="1" x14ac:dyDescent="0.25">
      <c r="A53" s="313" t="s">
        <v>146</v>
      </c>
      <c r="B53" s="314"/>
      <c r="C53" s="314"/>
      <c r="D53" s="216">
        <f>SUM(D50:D52)</f>
        <v>3569.06</v>
      </c>
      <c r="E53" s="216">
        <f>SUM(E50:E52)</f>
        <v>3708.78</v>
      </c>
      <c r="F53" s="216">
        <f>SUM(F50:F52)</f>
        <v>3569.06</v>
      </c>
      <c r="G53" s="217">
        <f>SUM(G50:G52)</f>
        <v>3708.78</v>
      </c>
    </row>
    <row r="54" spans="1:7" s="30" customFormat="1" ht="15.75" customHeight="1" x14ac:dyDescent="0.25">
      <c r="A54" s="329" t="s">
        <v>155</v>
      </c>
      <c r="B54" s="330"/>
      <c r="C54" s="330"/>
      <c r="D54" s="233"/>
      <c r="E54" s="233"/>
      <c r="F54" s="233"/>
      <c r="G54" s="234"/>
    </row>
    <row r="55" spans="1:7" s="30" customFormat="1" ht="15.75" customHeight="1" x14ac:dyDescent="0.25">
      <c r="A55" s="266" t="s">
        <v>192</v>
      </c>
      <c r="B55" s="309" t="s">
        <v>32</v>
      </c>
      <c r="C55" s="310"/>
      <c r="D55" s="169" t="s">
        <v>10</v>
      </c>
      <c r="E55" s="169" t="s">
        <v>10</v>
      </c>
      <c r="F55" s="169" t="s">
        <v>10</v>
      </c>
      <c r="G55" s="170" t="s">
        <v>10</v>
      </c>
    </row>
    <row r="56" spans="1:7" s="30" customFormat="1" ht="15.75" customHeight="1" x14ac:dyDescent="0.25">
      <c r="A56" s="171" t="s">
        <v>0</v>
      </c>
      <c r="B56" s="172" t="s">
        <v>33</v>
      </c>
      <c r="C56" s="173">
        <v>4.5999999999999999E-3</v>
      </c>
      <c r="D56" s="214">
        <f>D$24*C56</f>
        <v>20.98</v>
      </c>
      <c r="E56" s="214">
        <f>E$24*C56</f>
        <v>20.98</v>
      </c>
      <c r="F56" s="214">
        <f>F$24*C56</f>
        <v>20.98</v>
      </c>
      <c r="G56" s="215">
        <f>G$24*C56</f>
        <v>20.98</v>
      </c>
    </row>
    <row r="57" spans="1:7" s="30" customFormat="1" ht="15.75" customHeight="1" x14ac:dyDescent="0.25">
      <c r="A57" s="171" t="s">
        <v>2</v>
      </c>
      <c r="B57" s="172" t="s">
        <v>34</v>
      </c>
      <c r="C57" s="173">
        <v>4.0000000000000002E-4</v>
      </c>
      <c r="D57" s="214">
        <f>D$24*C57</f>
        <v>1.82</v>
      </c>
      <c r="E57" s="214">
        <f>E$24*C57</f>
        <v>1.82</v>
      </c>
      <c r="F57" s="214">
        <f>F$24*C57</f>
        <v>1.82</v>
      </c>
      <c r="G57" s="215">
        <f>G$24*C57</f>
        <v>1.82</v>
      </c>
    </row>
    <row r="58" spans="1:7" s="30" customFormat="1" ht="15.75" customHeight="1" x14ac:dyDescent="0.25">
      <c r="A58" s="171" t="s">
        <v>3</v>
      </c>
      <c r="B58" s="239" t="s">
        <v>35</v>
      </c>
      <c r="C58" s="173">
        <v>1.9400000000000001E-2</v>
      </c>
      <c r="D58" s="214">
        <f>D$24*C58</f>
        <v>88.5</v>
      </c>
      <c r="E58" s="214">
        <f>E$24*C58</f>
        <v>88.5</v>
      </c>
      <c r="F58" s="214">
        <f>F$24*C58</f>
        <v>88.5</v>
      </c>
      <c r="G58" s="215">
        <f>G$24*C58</f>
        <v>88.5</v>
      </c>
    </row>
    <row r="59" spans="1:7" s="30" customFormat="1" ht="30.75" customHeight="1" x14ac:dyDescent="0.25">
      <c r="A59" s="171" t="s">
        <v>5</v>
      </c>
      <c r="B59" s="172" t="s">
        <v>309</v>
      </c>
      <c r="C59" s="173">
        <v>7.7000000000000002E-3</v>
      </c>
      <c r="D59" s="214">
        <f>D$24*C59</f>
        <v>35.119999999999997</v>
      </c>
      <c r="E59" s="214">
        <f>E$24*C59</f>
        <v>35.119999999999997</v>
      </c>
      <c r="F59" s="214">
        <f>F$24*C59</f>
        <v>35.119999999999997</v>
      </c>
      <c r="G59" s="215">
        <f>G$24*C59</f>
        <v>35.119999999999997</v>
      </c>
    </row>
    <row r="60" spans="1:7" s="30" customFormat="1" ht="15.75" customHeight="1" x14ac:dyDescent="0.25">
      <c r="A60" s="171" t="s">
        <v>20</v>
      </c>
      <c r="B60" s="172" t="s">
        <v>142</v>
      </c>
      <c r="C60" s="173">
        <v>0.04</v>
      </c>
      <c r="D60" s="214">
        <f>D$24*C60</f>
        <v>182.46</v>
      </c>
      <c r="E60" s="214">
        <f>E$24*C60</f>
        <v>182.46</v>
      </c>
      <c r="F60" s="214">
        <f>F$24*C60</f>
        <v>182.46</v>
      </c>
      <c r="G60" s="215">
        <f>G$24*C60</f>
        <v>182.46</v>
      </c>
    </row>
    <row r="61" spans="1:7" s="30" customFormat="1" ht="15.75" customHeight="1" x14ac:dyDescent="0.25">
      <c r="A61" s="313" t="s">
        <v>147</v>
      </c>
      <c r="B61" s="314"/>
      <c r="C61" s="274">
        <f>SUM(C56:C60)</f>
        <v>7.2099999999999997E-2</v>
      </c>
      <c r="D61" s="216">
        <f>SUM(D56:D60)</f>
        <v>328.88</v>
      </c>
      <c r="E61" s="216">
        <f>SUM(E56:E60)</f>
        <v>328.88</v>
      </c>
      <c r="F61" s="216">
        <f>SUM(F56:F60)</f>
        <v>328.88</v>
      </c>
      <c r="G61" s="217">
        <f>SUM(G56:G60)</f>
        <v>328.88</v>
      </c>
    </row>
    <row r="62" spans="1:7" s="30" customFormat="1" x14ac:dyDescent="0.25">
      <c r="A62" s="329" t="s">
        <v>156</v>
      </c>
      <c r="B62" s="330"/>
      <c r="C62" s="330"/>
      <c r="D62" s="233"/>
      <c r="E62" s="233"/>
      <c r="F62" s="233"/>
      <c r="G62" s="234"/>
    </row>
    <row r="63" spans="1:7" s="30" customFormat="1" x14ac:dyDescent="0.25">
      <c r="A63" s="266" t="s">
        <v>191</v>
      </c>
      <c r="B63" s="347" t="s">
        <v>190</v>
      </c>
      <c r="C63" s="347"/>
      <c r="D63" s="169" t="s">
        <v>10</v>
      </c>
      <c r="E63" s="169" t="s">
        <v>10</v>
      </c>
      <c r="F63" s="169" t="s">
        <v>10</v>
      </c>
      <c r="G63" s="170" t="s">
        <v>10</v>
      </c>
    </row>
    <row r="64" spans="1:7" s="30" customFormat="1" x14ac:dyDescent="0.25">
      <c r="A64" s="171" t="s">
        <v>0</v>
      </c>
      <c r="B64" s="172" t="s">
        <v>184</v>
      </c>
      <c r="C64" s="173">
        <f>C28/12</f>
        <v>9.2999999999999992E-3</v>
      </c>
      <c r="D64" s="214">
        <f>(D$24+D$53+D$61+D$85)*C64</f>
        <v>78.989999999999995</v>
      </c>
      <c r="E64" s="214">
        <f>(E$24+E$53+E$61+E$85)*C64</f>
        <v>80.290000000000006</v>
      </c>
      <c r="F64" s="214">
        <f t="shared" ref="F64:F70" si="4">(F$24+F$53+F$61+F$85)*C64</f>
        <v>78.989999999999995</v>
      </c>
      <c r="G64" s="215">
        <f>(G$24+G$53+G$61+G$85)*C64</f>
        <v>80.290000000000006</v>
      </c>
    </row>
    <row r="65" spans="1:7" s="30" customFormat="1" x14ac:dyDescent="0.25">
      <c r="A65" s="171" t="s">
        <v>2</v>
      </c>
      <c r="B65" s="172" t="s">
        <v>185</v>
      </c>
      <c r="C65" s="173">
        <v>1.3899999999999999E-2</v>
      </c>
      <c r="D65" s="214">
        <f>(D$24+D$53+D$61+D$85)*C65</f>
        <v>118.06</v>
      </c>
      <c r="E65" s="214">
        <f>(E$24+E$53+E$61+E$85)*C65</f>
        <v>120</v>
      </c>
      <c r="F65" s="214">
        <f>(F$24+F$53+F$61+F$85)*C65</f>
        <v>118.06</v>
      </c>
      <c r="G65" s="215">
        <f>(G$24+G$53+G$61+G$85)*C65</f>
        <v>120</v>
      </c>
    </row>
    <row r="66" spans="1:7" s="30" customFormat="1" x14ac:dyDescent="0.25">
      <c r="A66" s="171" t="s">
        <v>3</v>
      </c>
      <c r="B66" s="172" t="s">
        <v>188</v>
      </c>
      <c r="C66" s="173">
        <v>1.2999999999999999E-3</v>
      </c>
      <c r="D66" s="214">
        <f t="shared" ref="D66:D69" si="5">(D$24+D$53+D$61+D$85)*C66</f>
        <v>11.04</v>
      </c>
      <c r="E66" s="214">
        <f t="shared" ref="E66:E68" si="6">(E$24+E$53+E$61+E$85)*C66</f>
        <v>11.22</v>
      </c>
      <c r="F66" s="214">
        <f>(F$24+F$53+F$61+F$85)*C66</f>
        <v>11.04</v>
      </c>
      <c r="G66" s="215">
        <f t="shared" ref="G66:G70" si="7">(G$24+G$53+G$61+G$85)*C66</f>
        <v>11.22</v>
      </c>
    </row>
    <row r="67" spans="1:7" s="30" customFormat="1" x14ac:dyDescent="0.25">
      <c r="A67" s="171" t="s">
        <v>5</v>
      </c>
      <c r="B67" s="172" t="s">
        <v>186</v>
      </c>
      <c r="C67" s="173">
        <v>2.0000000000000001E-4</v>
      </c>
      <c r="D67" s="214">
        <f t="shared" si="5"/>
        <v>1.7</v>
      </c>
      <c r="E67" s="214">
        <f t="shared" si="6"/>
        <v>1.73</v>
      </c>
      <c r="F67" s="214">
        <f t="shared" si="4"/>
        <v>1.7</v>
      </c>
      <c r="G67" s="215">
        <f>(G$24+G$53+G$61+G$85)*C67</f>
        <v>1.73</v>
      </c>
    </row>
    <row r="68" spans="1:7" s="30" customFormat="1" x14ac:dyDescent="0.25">
      <c r="A68" s="171" t="s">
        <v>20</v>
      </c>
      <c r="B68" s="172" t="s">
        <v>297</v>
      </c>
      <c r="C68" s="173">
        <v>2.8E-3</v>
      </c>
      <c r="D68" s="214">
        <f t="shared" si="5"/>
        <v>23.78</v>
      </c>
      <c r="E68" s="214">
        <f t="shared" si="6"/>
        <v>24.17</v>
      </c>
      <c r="F68" s="214">
        <f t="shared" si="4"/>
        <v>23.78</v>
      </c>
      <c r="G68" s="215">
        <f>(G$24+G$53+G$61+G$85)*C68</f>
        <v>24.17</v>
      </c>
    </row>
    <row r="69" spans="1:7" s="30" customFormat="1" x14ac:dyDescent="0.25">
      <c r="A69" s="171" t="s">
        <v>21</v>
      </c>
      <c r="B69" s="172" t="s">
        <v>187</v>
      </c>
      <c r="C69" s="173">
        <v>2.9999999999999997E-4</v>
      </c>
      <c r="D69" s="214">
        <f t="shared" si="5"/>
        <v>2.5499999999999998</v>
      </c>
      <c r="E69" s="214">
        <f t="shared" ref="E69" si="8">(E$24+E$53+E$61+E$85)*C69</f>
        <v>2.59</v>
      </c>
      <c r="F69" s="214">
        <f>(F$24+F$53+F$61+F$85)*C69</f>
        <v>2.5499999999999998</v>
      </c>
      <c r="G69" s="215">
        <f t="shared" ref="G69" si="9">(G$24+G$53+G$61+G$85)*C69</f>
        <v>2.59</v>
      </c>
    </row>
    <row r="70" spans="1:7" s="30" customFormat="1" ht="15.75" customHeight="1" x14ac:dyDescent="0.25">
      <c r="A70" s="171" t="s">
        <v>22</v>
      </c>
      <c r="B70" s="265" t="s">
        <v>189</v>
      </c>
      <c r="C70" s="173">
        <v>0</v>
      </c>
      <c r="D70" s="214">
        <f>(D$24+D$53+D$61+D$85)*C70</f>
        <v>0</v>
      </c>
      <c r="E70" s="214">
        <f>(E$24+E$53+E$61+E$85)*C70</f>
        <v>0</v>
      </c>
      <c r="F70" s="214">
        <f t="shared" si="4"/>
        <v>0</v>
      </c>
      <c r="G70" s="215">
        <f t="shared" si="7"/>
        <v>0</v>
      </c>
    </row>
    <row r="71" spans="1:7" s="30" customFormat="1" x14ac:dyDescent="0.25">
      <c r="A71" s="322" t="s">
        <v>29</v>
      </c>
      <c r="B71" s="323"/>
      <c r="C71" s="184">
        <f>SUM(C64:C70)</f>
        <v>2.7799999999999998E-2</v>
      </c>
      <c r="D71" s="71">
        <f>SUM(D64:D70)</f>
        <v>236.12</v>
      </c>
      <c r="E71" s="71">
        <f>SUM(E64:E70)</f>
        <v>240</v>
      </c>
      <c r="F71" s="71">
        <f>SUM(F64:F70)</f>
        <v>236.12</v>
      </c>
      <c r="G71" s="72">
        <f>SUM(G64:G70)</f>
        <v>240</v>
      </c>
    </row>
    <row r="72" spans="1:7" s="30" customFormat="1" x14ac:dyDescent="0.25">
      <c r="A72" s="272"/>
      <c r="B72" s="267"/>
      <c r="C72" s="205"/>
      <c r="D72" s="205"/>
      <c r="E72" s="112"/>
      <c r="F72" s="205"/>
      <c r="G72" s="196"/>
    </row>
    <row r="73" spans="1:7" s="30" customFormat="1" x14ac:dyDescent="0.25">
      <c r="A73" s="272"/>
      <c r="B73" s="336" t="s">
        <v>193</v>
      </c>
      <c r="C73" s="352"/>
      <c r="D73" s="169" t="s">
        <v>10</v>
      </c>
      <c r="E73" s="169" t="s">
        <v>10</v>
      </c>
      <c r="F73" s="169" t="s">
        <v>10</v>
      </c>
      <c r="G73" s="170" t="s">
        <v>10</v>
      </c>
    </row>
    <row r="74" spans="1:7" s="30" customFormat="1" x14ac:dyDescent="0.25">
      <c r="A74" s="171" t="s">
        <v>0</v>
      </c>
      <c r="B74" s="172" t="s">
        <v>194</v>
      </c>
      <c r="C74" s="173">
        <v>0</v>
      </c>
      <c r="D74" s="214">
        <f>(D$24+D$53+D$61)*C74</f>
        <v>0</v>
      </c>
      <c r="E74" s="214">
        <f>(E$24+E$53+E$61)*C74</f>
        <v>0</v>
      </c>
      <c r="F74" s="214">
        <f>(F$24+F$53+F$61)*C74</f>
        <v>0</v>
      </c>
      <c r="G74" s="215">
        <f>(G$24+G$53+G$61)*C74</f>
        <v>0</v>
      </c>
    </row>
    <row r="75" spans="1:7" s="30" customFormat="1" ht="15.75" customHeight="1" x14ac:dyDescent="0.25">
      <c r="A75" s="322" t="s">
        <v>27</v>
      </c>
      <c r="B75" s="323"/>
      <c r="C75" s="209">
        <f>C74</f>
        <v>0</v>
      </c>
      <c r="D75" s="71">
        <f>D74</f>
        <v>0</v>
      </c>
      <c r="E75" s="71">
        <f>E74</f>
        <v>0</v>
      </c>
      <c r="F75" s="71">
        <f>F74</f>
        <v>0</v>
      </c>
      <c r="G75" s="72">
        <f>G74</f>
        <v>0</v>
      </c>
    </row>
    <row r="76" spans="1:7" s="30" customFormat="1" ht="15.75" customHeight="1" x14ac:dyDescent="0.25">
      <c r="A76" s="317" t="s">
        <v>30</v>
      </c>
      <c r="B76" s="318"/>
      <c r="C76" s="318"/>
      <c r="D76" s="167"/>
      <c r="E76" s="167"/>
      <c r="F76" s="167"/>
      <c r="G76" s="168"/>
    </row>
    <row r="77" spans="1:7" s="30" customFormat="1" ht="15.75" customHeight="1" x14ac:dyDescent="0.25">
      <c r="A77" s="372" t="s">
        <v>195</v>
      </c>
      <c r="B77" s="373"/>
      <c r="C77" s="373"/>
      <c r="D77" s="224"/>
      <c r="E77" s="224"/>
      <c r="F77" s="224"/>
      <c r="G77" s="240"/>
    </row>
    <row r="78" spans="1:7" s="30" customFormat="1" ht="15.75" customHeight="1" x14ac:dyDescent="0.25">
      <c r="A78" s="266">
        <v>4</v>
      </c>
      <c r="B78" s="309" t="s">
        <v>31</v>
      </c>
      <c r="C78" s="310"/>
      <c r="D78" s="169" t="s">
        <v>10</v>
      </c>
      <c r="E78" s="169" t="s">
        <v>10</v>
      </c>
      <c r="F78" s="169" t="s">
        <v>10</v>
      </c>
      <c r="G78" s="170" t="s">
        <v>10</v>
      </c>
    </row>
    <row r="79" spans="1:7" s="30" customFormat="1" ht="15.75" customHeight="1" x14ac:dyDescent="0.25">
      <c r="A79" s="171" t="s">
        <v>191</v>
      </c>
      <c r="B79" s="265" t="s">
        <v>190</v>
      </c>
      <c r="C79" s="173">
        <f>C71</f>
        <v>2.7799999999999998E-2</v>
      </c>
      <c r="D79" s="214">
        <f>D71</f>
        <v>236.12</v>
      </c>
      <c r="E79" s="214">
        <f>E71</f>
        <v>240</v>
      </c>
      <c r="F79" s="214">
        <f>F71</f>
        <v>236.12</v>
      </c>
      <c r="G79" s="215">
        <f>G71</f>
        <v>240</v>
      </c>
    </row>
    <row r="80" spans="1:7" s="30" customFormat="1" ht="15.75" customHeight="1" x14ac:dyDescent="0.25">
      <c r="A80" s="171" t="s">
        <v>207</v>
      </c>
      <c r="B80" s="265" t="s">
        <v>193</v>
      </c>
      <c r="C80" s="173">
        <v>0</v>
      </c>
      <c r="D80" s="214">
        <f>(D$24+D$53+D$61)*C80</f>
        <v>0</v>
      </c>
      <c r="E80" s="214">
        <f>(E$24+E$53+E$61)*C80</f>
        <v>0</v>
      </c>
      <c r="F80" s="214">
        <f>(F$24+F$53+F$61)*C80</f>
        <v>0</v>
      </c>
      <c r="G80" s="215">
        <f>(G$24+G$53+G$61)*C80</f>
        <v>0</v>
      </c>
    </row>
    <row r="81" spans="1:7" s="30" customFormat="1" ht="15.75" customHeight="1" x14ac:dyDescent="0.25">
      <c r="A81" s="322" t="s">
        <v>27</v>
      </c>
      <c r="B81" s="323"/>
      <c r="C81" s="176">
        <f>SUM(C79:C80)</f>
        <v>2.7799999999999998E-2</v>
      </c>
      <c r="D81" s="71">
        <f>SUM(D79:D80)</f>
        <v>236.12</v>
      </c>
      <c r="E81" s="71">
        <f>SUM(E79:E80)</f>
        <v>240</v>
      </c>
      <c r="F81" s="71">
        <f>SUM(F79:F80)</f>
        <v>236.12</v>
      </c>
      <c r="G81" s="72">
        <f>SUM(G79:G80)</f>
        <v>240</v>
      </c>
    </row>
    <row r="82" spans="1:7" s="30" customFormat="1" ht="15.75" customHeight="1" x14ac:dyDescent="0.25">
      <c r="A82" s="313" t="s">
        <v>148</v>
      </c>
      <c r="B82" s="314"/>
      <c r="C82" s="314"/>
      <c r="D82" s="216">
        <f>SUM(D75+D81)</f>
        <v>236.12</v>
      </c>
      <c r="E82" s="216">
        <f>SUM(E75+E81)</f>
        <v>240</v>
      </c>
      <c r="F82" s="216">
        <f>SUM(F75+F81)</f>
        <v>236.12</v>
      </c>
      <c r="G82" s="217">
        <f>SUM(G75+G81)</f>
        <v>240</v>
      </c>
    </row>
    <row r="83" spans="1:7" s="30" customFormat="1" ht="15.75" customHeight="1" x14ac:dyDescent="0.25">
      <c r="A83" s="329" t="s">
        <v>157</v>
      </c>
      <c r="B83" s="330"/>
      <c r="C83" s="330"/>
      <c r="D83" s="233"/>
      <c r="E83" s="233"/>
      <c r="F83" s="233"/>
      <c r="G83" s="234"/>
    </row>
    <row r="84" spans="1:7" s="30" customFormat="1" ht="15.75" customHeight="1" x14ac:dyDescent="0.25">
      <c r="A84" s="266">
        <v>5</v>
      </c>
      <c r="B84" s="309" t="s">
        <v>24</v>
      </c>
      <c r="C84" s="310"/>
      <c r="D84" s="169" t="s">
        <v>10</v>
      </c>
      <c r="E84" s="169" t="s">
        <v>10</v>
      </c>
      <c r="F84" s="169" t="s">
        <v>10</v>
      </c>
      <c r="G84" s="170" t="s">
        <v>10</v>
      </c>
    </row>
    <row r="85" spans="1:7" s="30" customFormat="1" ht="15.75" customHeight="1" x14ac:dyDescent="0.25">
      <c r="A85" s="195" t="s">
        <v>0</v>
      </c>
      <c r="B85" s="315" t="s">
        <v>208</v>
      </c>
      <c r="C85" s="315"/>
      <c r="D85" s="214">
        <f>Uniformes!H7</f>
        <v>33.93</v>
      </c>
      <c r="E85" s="214">
        <f>Uniformes!H7</f>
        <v>33.93</v>
      </c>
      <c r="F85" s="214">
        <f>Uniformes!H7</f>
        <v>33.93</v>
      </c>
      <c r="G85" s="215">
        <f>Uniformes!H7</f>
        <v>33.93</v>
      </c>
    </row>
    <row r="86" spans="1:7" s="30" customFormat="1" ht="15.75" customHeight="1" x14ac:dyDescent="0.25">
      <c r="A86" s="195" t="s">
        <v>2</v>
      </c>
      <c r="B86" s="315" t="s">
        <v>209</v>
      </c>
      <c r="C86" s="315"/>
      <c r="D86" s="214">
        <f>Materiais!H18</f>
        <v>58.98</v>
      </c>
      <c r="E86" s="214">
        <f>Materiais!H19</f>
        <v>58.98</v>
      </c>
      <c r="F86" s="214">
        <f>Materiais!H20</f>
        <v>40.090000000000003</v>
      </c>
      <c r="G86" s="215">
        <f>Materiais!H21</f>
        <v>40.090000000000003</v>
      </c>
    </row>
    <row r="87" spans="1:7" s="30" customFormat="1" ht="15.75" customHeight="1" x14ac:dyDescent="0.25">
      <c r="A87" s="195" t="s">
        <v>3</v>
      </c>
      <c r="B87" s="315" t="s">
        <v>179</v>
      </c>
      <c r="C87" s="315"/>
      <c r="D87" s="214">
        <f>Equipamentos!H19</f>
        <v>1107.97</v>
      </c>
      <c r="E87" s="214">
        <f>Equipamentos!H20</f>
        <v>1107.97</v>
      </c>
      <c r="F87" s="214">
        <f>Equipamentos!H21</f>
        <v>765.63</v>
      </c>
      <c r="G87" s="215">
        <f>Equipamentos!H22</f>
        <v>765.63</v>
      </c>
    </row>
    <row r="88" spans="1:7" s="30" customFormat="1" ht="15.75" customHeight="1" x14ac:dyDescent="0.25">
      <c r="A88" s="195" t="s">
        <v>5</v>
      </c>
      <c r="B88" s="315" t="s">
        <v>132</v>
      </c>
      <c r="C88" s="315"/>
      <c r="D88" s="214">
        <v>0</v>
      </c>
      <c r="E88" s="214">
        <v>0</v>
      </c>
      <c r="F88" s="214">
        <v>0</v>
      </c>
      <c r="G88" s="215">
        <v>0</v>
      </c>
    </row>
    <row r="89" spans="1:7" s="30" customFormat="1" ht="15.75" customHeight="1" x14ac:dyDescent="0.25">
      <c r="A89" s="313" t="s">
        <v>149</v>
      </c>
      <c r="B89" s="314"/>
      <c r="C89" s="314"/>
      <c r="D89" s="216">
        <f>SUM(D85:D88)</f>
        <v>1200.8800000000001</v>
      </c>
      <c r="E89" s="216">
        <f>SUM(E85:E88)</f>
        <v>1200.8800000000001</v>
      </c>
      <c r="F89" s="216">
        <f>SUM(F85:F88)</f>
        <v>839.65</v>
      </c>
      <c r="G89" s="217">
        <f>SUM(G85:G88)</f>
        <v>839.65</v>
      </c>
    </row>
    <row r="90" spans="1:7" s="30" customFormat="1" ht="30" customHeight="1" x14ac:dyDescent="0.25">
      <c r="A90" s="311" t="s">
        <v>211</v>
      </c>
      <c r="B90" s="312"/>
      <c r="C90" s="312"/>
      <c r="D90" s="241">
        <f>D89+D82+D61+D53+D24</f>
        <v>9896.5400000000009</v>
      </c>
      <c r="E90" s="241">
        <f>E89+E82+E61+E53+E24</f>
        <v>10040.14</v>
      </c>
      <c r="F90" s="241">
        <f>F89+F82+F61+F53+F24</f>
        <v>9535.31</v>
      </c>
      <c r="G90" s="242">
        <f>G89+G82+G61+G53+G24</f>
        <v>9678.91</v>
      </c>
    </row>
    <row r="91" spans="1:7" s="30" customFormat="1" ht="19.5" customHeight="1" x14ac:dyDescent="0.25">
      <c r="A91" s="329" t="s">
        <v>158</v>
      </c>
      <c r="B91" s="330"/>
      <c r="C91" s="330"/>
      <c r="D91" s="233"/>
      <c r="E91" s="233"/>
      <c r="F91" s="233"/>
      <c r="G91" s="234"/>
    </row>
    <row r="92" spans="1:7" s="30" customFormat="1" x14ac:dyDescent="0.25">
      <c r="A92" s="266">
        <v>6</v>
      </c>
      <c r="B92" s="309" t="s">
        <v>38</v>
      </c>
      <c r="C92" s="316"/>
      <c r="D92" s="169" t="s">
        <v>10</v>
      </c>
      <c r="E92" s="169" t="s">
        <v>10</v>
      </c>
      <c r="F92" s="169" t="s">
        <v>10</v>
      </c>
      <c r="G92" s="170" t="s">
        <v>10</v>
      </c>
    </row>
    <row r="93" spans="1:7" s="30" customFormat="1" x14ac:dyDescent="0.25">
      <c r="A93" s="171" t="s">
        <v>0</v>
      </c>
      <c r="B93" s="172" t="s">
        <v>39</v>
      </c>
      <c r="C93" s="220">
        <v>0.05</v>
      </c>
      <c r="D93" s="214">
        <f>+D90*C93</f>
        <v>494.83</v>
      </c>
      <c r="E93" s="214">
        <f>+E90*C93</f>
        <v>502.01</v>
      </c>
      <c r="F93" s="214">
        <f>+F90*C93</f>
        <v>476.77</v>
      </c>
      <c r="G93" s="215">
        <f>+G90*C93</f>
        <v>483.95</v>
      </c>
    </row>
    <row r="94" spans="1:7" s="30" customFormat="1" x14ac:dyDescent="0.25">
      <c r="A94" s="171" t="s">
        <v>2</v>
      </c>
      <c r="B94" s="172" t="s">
        <v>40</v>
      </c>
      <c r="C94" s="220">
        <v>0.1</v>
      </c>
      <c r="D94" s="214">
        <f>C94*(+D90+D93)</f>
        <v>1039.1400000000001</v>
      </c>
      <c r="E94" s="214">
        <f>C94*(+E90+E93)</f>
        <v>1054.22</v>
      </c>
      <c r="F94" s="214">
        <f>C94*(+F90+F93)</f>
        <v>1001.21</v>
      </c>
      <c r="G94" s="215">
        <f>C94*(+G90+G93)</f>
        <v>1016.29</v>
      </c>
    </row>
    <row r="95" spans="1:7" s="30" customFormat="1" ht="30" x14ac:dyDescent="0.25">
      <c r="A95" s="171"/>
      <c r="B95" s="172" t="s">
        <v>47</v>
      </c>
      <c r="C95" s="173">
        <f>1-C102</f>
        <v>0.85750000000000004</v>
      </c>
      <c r="D95" s="214">
        <f>+D90+D93+D94</f>
        <v>11430.51</v>
      </c>
      <c r="E95" s="214">
        <f>+E90+E93+E94</f>
        <v>11596.37</v>
      </c>
      <c r="F95" s="214">
        <f>+F90+F93+F94</f>
        <v>11013.29</v>
      </c>
      <c r="G95" s="215">
        <f>+G90+G93+G94</f>
        <v>11179.15</v>
      </c>
    </row>
    <row r="96" spans="1:7" s="30" customFormat="1" x14ac:dyDescent="0.25">
      <c r="A96" s="171"/>
      <c r="B96" s="265"/>
      <c r="C96" s="40"/>
      <c r="D96" s="243">
        <f>+D95/C95</f>
        <v>13330.04</v>
      </c>
      <c r="E96" s="243">
        <f>+E95/C95</f>
        <v>13523.46</v>
      </c>
      <c r="F96" s="243">
        <f>+F95/C95</f>
        <v>12843.49</v>
      </c>
      <c r="G96" s="244">
        <f>+G95/C95</f>
        <v>13036.91</v>
      </c>
    </row>
    <row r="97" spans="1:7" s="30" customFormat="1" x14ac:dyDescent="0.25">
      <c r="A97" s="171" t="s">
        <v>3</v>
      </c>
      <c r="B97" s="265" t="s">
        <v>41</v>
      </c>
      <c r="C97" s="221">
        <f>C99+C100+C101</f>
        <v>0.14249999999999999</v>
      </c>
      <c r="D97" s="243"/>
      <c r="E97" s="243"/>
      <c r="F97" s="243"/>
      <c r="G97" s="244"/>
    </row>
    <row r="98" spans="1:7" s="30" customFormat="1" x14ac:dyDescent="0.25">
      <c r="A98" s="171" t="s">
        <v>289</v>
      </c>
      <c r="B98" s="265" t="s">
        <v>285</v>
      </c>
      <c r="C98" s="221">
        <f>C99+C100</f>
        <v>9.2499999999999999E-2</v>
      </c>
      <c r="D98" s="214"/>
      <c r="E98" s="214"/>
      <c r="F98" s="214"/>
      <c r="G98" s="215"/>
    </row>
    <row r="99" spans="1:7" s="30" customFormat="1" x14ac:dyDescent="0.25">
      <c r="A99" s="171" t="s">
        <v>290</v>
      </c>
      <c r="B99" s="172" t="s">
        <v>286</v>
      </c>
      <c r="C99" s="173">
        <v>1.6500000000000001E-2</v>
      </c>
      <c r="D99" s="214">
        <f>+D96*C99</f>
        <v>219.95</v>
      </c>
      <c r="E99" s="214">
        <f>+E96*C99</f>
        <v>223.14</v>
      </c>
      <c r="F99" s="214">
        <f>+F96*C99</f>
        <v>211.92</v>
      </c>
      <c r="G99" s="215">
        <f>+G96*C99</f>
        <v>215.11</v>
      </c>
    </row>
    <row r="100" spans="1:7" s="30" customFormat="1" x14ac:dyDescent="0.25">
      <c r="A100" s="171" t="s">
        <v>291</v>
      </c>
      <c r="B100" s="172" t="s">
        <v>287</v>
      </c>
      <c r="C100" s="173">
        <v>7.5999999999999998E-2</v>
      </c>
      <c r="D100" s="214">
        <f>+D96*C100</f>
        <v>1013.08</v>
      </c>
      <c r="E100" s="214">
        <f>+E96*C100</f>
        <v>1027.78</v>
      </c>
      <c r="F100" s="214">
        <f>+F96*C100</f>
        <v>976.11</v>
      </c>
      <c r="G100" s="215">
        <f>+G96*C100</f>
        <v>990.81</v>
      </c>
    </row>
    <row r="101" spans="1:7" s="30" customFormat="1" x14ac:dyDescent="0.25">
      <c r="A101" s="171" t="s">
        <v>292</v>
      </c>
      <c r="B101" s="172" t="s">
        <v>288</v>
      </c>
      <c r="C101" s="173">
        <v>0.05</v>
      </c>
      <c r="D101" s="214">
        <f>+D96*C101</f>
        <v>666.5</v>
      </c>
      <c r="E101" s="214">
        <f>+E96*C101</f>
        <v>676.17</v>
      </c>
      <c r="F101" s="214">
        <f>+F96*C101</f>
        <v>642.16999999999996</v>
      </c>
      <c r="G101" s="215">
        <f>+G96*C101</f>
        <v>651.85</v>
      </c>
    </row>
    <row r="102" spans="1:7" s="30" customFormat="1" x14ac:dyDescent="0.25">
      <c r="A102" s="266"/>
      <c r="B102" s="224" t="s">
        <v>42</v>
      </c>
      <c r="C102" s="225">
        <f>C97</f>
        <v>0.14249999999999999</v>
      </c>
      <c r="D102" s="226">
        <f>SUM(D99:D101)</f>
        <v>1899.53</v>
      </c>
      <c r="E102" s="226">
        <f>SUM(E99:E101)</f>
        <v>1927.09</v>
      </c>
      <c r="F102" s="226">
        <f>SUM(F99:F101)</f>
        <v>1830.2</v>
      </c>
      <c r="G102" s="227">
        <f>SUM(G99:G101)</f>
        <v>1857.77</v>
      </c>
    </row>
    <row r="103" spans="1:7" s="30" customFormat="1" ht="15.75" customHeight="1" x14ac:dyDescent="0.25">
      <c r="A103" s="322" t="s">
        <v>43</v>
      </c>
      <c r="B103" s="323"/>
      <c r="C103" s="323"/>
      <c r="D103" s="71">
        <f>+D93+D94+D102</f>
        <v>3433.5</v>
      </c>
      <c r="E103" s="71">
        <f>+E93+E94+E102</f>
        <v>3483.32</v>
      </c>
      <c r="F103" s="71">
        <f>+F93+F94+F102</f>
        <v>3308.18</v>
      </c>
      <c r="G103" s="72">
        <f>+G93+G94+G102</f>
        <v>3358.01</v>
      </c>
    </row>
    <row r="104" spans="1:7" s="30" customFormat="1" ht="15.75" customHeight="1" x14ac:dyDescent="0.25">
      <c r="A104" s="374" t="s">
        <v>44</v>
      </c>
      <c r="B104" s="375"/>
      <c r="C104" s="375"/>
      <c r="D104" s="245" t="s">
        <v>10</v>
      </c>
      <c r="E104" s="245" t="s">
        <v>10</v>
      </c>
      <c r="F104" s="245" t="s">
        <v>10</v>
      </c>
      <c r="G104" s="246" t="s">
        <v>10</v>
      </c>
    </row>
    <row r="105" spans="1:7" s="30" customFormat="1" x14ac:dyDescent="0.25">
      <c r="A105" s="171" t="s">
        <v>0</v>
      </c>
      <c r="B105" s="326" t="s">
        <v>45</v>
      </c>
      <c r="C105" s="326"/>
      <c r="D105" s="214">
        <f>+D24</f>
        <v>4561.6000000000004</v>
      </c>
      <c r="E105" s="214">
        <f>+E24</f>
        <v>4561.6000000000004</v>
      </c>
      <c r="F105" s="214">
        <f>+F24</f>
        <v>4561.6000000000004</v>
      </c>
      <c r="G105" s="215">
        <f>+G24</f>
        <v>4561.6000000000004</v>
      </c>
    </row>
    <row r="106" spans="1:7" s="30" customFormat="1" x14ac:dyDescent="0.25">
      <c r="A106" s="171" t="s">
        <v>2</v>
      </c>
      <c r="B106" s="326" t="s">
        <v>152</v>
      </c>
      <c r="C106" s="326"/>
      <c r="D106" s="214">
        <f>+D53</f>
        <v>3569.06</v>
      </c>
      <c r="E106" s="214">
        <f>+E53</f>
        <v>3708.78</v>
      </c>
      <c r="F106" s="214">
        <f>+F53</f>
        <v>3569.06</v>
      </c>
      <c r="G106" s="215">
        <f>+G53</f>
        <v>3708.78</v>
      </c>
    </row>
    <row r="107" spans="1:7" s="30" customFormat="1" x14ac:dyDescent="0.25">
      <c r="A107" s="171" t="s">
        <v>3</v>
      </c>
      <c r="B107" s="326" t="s">
        <v>150</v>
      </c>
      <c r="C107" s="326"/>
      <c r="D107" s="214">
        <f>D61</f>
        <v>328.88</v>
      </c>
      <c r="E107" s="214">
        <f>E61</f>
        <v>328.88</v>
      </c>
      <c r="F107" s="214">
        <f>F61</f>
        <v>328.88</v>
      </c>
      <c r="G107" s="215">
        <f>G61</f>
        <v>328.88</v>
      </c>
    </row>
    <row r="108" spans="1:7" s="30" customFormat="1" x14ac:dyDescent="0.25">
      <c r="A108" s="171" t="s">
        <v>5</v>
      </c>
      <c r="B108" s="326" t="s">
        <v>143</v>
      </c>
      <c r="C108" s="326"/>
      <c r="D108" s="214">
        <f>D82</f>
        <v>236.12</v>
      </c>
      <c r="E108" s="214">
        <f>E82</f>
        <v>240</v>
      </c>
      <c r="F108" s="214">
        <f>F82</f>
        <v>236.12</v>
      </c>
      <c r="G108" s="215">
        <f>G82</f>
        <v>240</v>
      </c>
    </row>
    <row r="109" spans="1:7" s="30" customFormat="1" x14ac:dyDescent="0.25">
      <c r="A109" s="171" t="s">
        <v>20</v>
      </c>
      <c r="B109" s="326" t="s">
        <v>151</v>
      </c>
      <c r="C109" s="326"/>
      <c r="D109" s="214">
        <f>D89</f>
        <v>1200.8800000000001</v>
      </c>
      <c r="E109" s="214">
        <f>E89</f>
        <v>1200.8800000000001</v>
      </c>
      <c r="F109" s="214">
        <f>F89</f>
        <v>839.65</v>
      </c>
      <c r="G109" s="215">
        <f>G89</f>
        <v>839.65</v>
      </c>
    </row>
    <row r="110" spans="1:7" s="30" customFormat="1" ht="15.75" customHeight="1" x14ac:dyDescent="0.25">
      <c r="A110" s="327" t="s">
        <v>295</v>
      </c>
      <c r="B110" s="328"/>
      <c r="C110" s="328"/>
      <c r="D110" s="226">
        <f>SUM(D105:D109)</f>
        <v>9896.5400000000009</v>
      </c>
      <c r="E110" s="226">
        <f>SUM(E105:E109)</f>
        <v>10040.14</v>
      </c>
      <c r="F110" s="226">
        <f>SUM(F105:F109)</f>
        <v>9535.31</v>
      </c>
      <c r="G110" s="227">
        <f>SUM(G105:G109)</f>
        <v>9678.91</v>
      </c>
    </row>
    <row r="111" spans="1:7" s="30" customFormat="1" x14ac:dyDescent="0.25">
      <c r="A111" s="171" t="s">
        <v>21</v>
      </c>
      <c r="B111" s="326" t="s">
        <v>154</v>
      </c>
      <c r="C111" s="326"/>
      <c r="D111" s="214">
        <f>+D103</f>
        <v>3433.5</v>
      </c>
      <c r="E111" s="214">
        <f>+E103</f>
        <v>3483.32</v>
      </c>
      <c r="F111" s="214">
        <f>+F103</f>
        <v>3308.18</v>
      </c>
      <c r="G111" s="215">
        <f>+G103</f>
        <v>3358.01</v>
      </c>
    </row>
    <row r="112" spans="1:7" s="30" customFormat="1" ht="16.5" customHeight="1" thickBot="1" x14ac:dyDescent="0.3">
      <c r="A112" s="319" t="s">
        <v>46</v>
      </c>
      <c r="B112" s="320"/>
      <c r="C112" s="320"/>
      <c r="D112" s="247">
        <f>+D110+D111</f>
        <v>13330.04</v>
      </c>
      <c r="E112" s="247">
        <f>+E110+E111</f>
        <v>13523.46</v>
      </c>
      <c r="F112" s="247">
        <f>+F110+F111</f>
        <v>12843.49</v>
      </c>
      <c r="G112" s="248">
        <f>+G110+G111</f>
        <v>13036.92</v>
      </c>
    </row>
    <row r="113" spans="2:7" x14ac:dyDescent="0.25">
      <c r="C113" s="31"/>
      <c r="D113" s="31"/>
      <c r="E113" s="31"/>
      <c r="F113" s="31"/>
      <c r="G113" s="33"/>
    </row>
    <row r="114" spans="2:7" x14ac:dyDescent="0.25">
      <c r="B114" s="28"/>
      <c r="C114" s="31"/>
      <c r="D114" s="31"/>
      <c r="E114" s="31"/>
      <c r="F114" s="31"/>
      <c r="G114" s="34"/>
    </row>
    <row r="115" spans="2:7" x14ac:dyDescent="0.25">
      <c r="B115" s="28"/>
      <c r="C115" s="31"/>
      <c r="D115" s="31"/>
      <c r="E115" s="31"/>
      <c r="F115" s="31"/>
      <c r="G115" s="34" t="s">
        <v>126</v>
      </c>
    </row>
    <row r="116" spans="2:7" x14ac:dyDescent="0.25">
      <c r="B116" s="28"/>
      <c r="C116" s="321"/>
      <c r="D116" s="321"/>
      <c r="E116" s="321"/>
      <c r="F116" s="321"/>
      <c r="G116" s="321"/>
    </row>
    <row r="117" spans="2:7" x14ac:dyDescent="0.25">
      <c r="B117" s="28"/>
      <c r="C117" s="31"/>
      <c r="D117" s="31"/>
      <c r="E117" s="31"/>
      <c r="F117" s="31"/>
      <c r="G117" s="35"/>
    </row>
    <row r="119" spans="2:7" x14ac:dyDescent="0.25">
      <c r="B119" s="36"/>
    </row>
    <row r="124" spans="2:7" x14ac:dyDescent="0.25">
      <c r="B124" s="28"/>
    </row>
  </sheetData>
  <mergeCells count="67">
    <mergeCell ref="A25:C25"/>
    <mergeCell ref="A15:C15"/>
    <mergeCell ref="B16:C16"/>
    <mergeCell ref="A24:C24"/>
    <mergeCell ref="B73:C73"/>
    <mergeCell ref="A54:C54"/>
    <mergeCell ref="A62:C62"/>
    <mergeCell ref="A61:B61"/>
    <mergeCell ref="A75:B75"/>
    <mergeCell ref="A30:G30"/>
    <mergeCell ref="B26:C26"/>
    <mergeCell ref="A29:B29"/>
    <mergeCell ref="B78:C78"/>
    <mergeCell ref="B31:C31"/>
    <mergeCell ref="A40:B40"/>
    <mergeCell ref="A48:C48"/>
    <mergeCell ref="B42:C42"/>
    <mergeCell ref="A41:C41"/>
    <mergeCell ref="A49:C49"/>
    <mergeCell ref="A71:B71"/>
    <mergeCell ref="A53:C53"/>
    <mergeCell ref="B55:C55"/>
    <mergeCell ref="B63:C63"/>
    <mergeCell ref="A81:B81"/>
    <mergeCell ref="A76:C76"/>
    <mergeCell ref="A77:C77"/>
    <mergeCell ref="C116:G116"/>
    <mergeCell ref="A103:C103"/>
    <mergeCell ref="A104:C104"/>
    <mergeCell ref="B105:C105"/>
    <mergeCell ref="B106:C106"/>
    <mergeCell ref="B107:C107"/>
    <mergeCell ref="A110:C110"/>
    <mergeCell ref="B111:C111"/>
    <mergeCell ref="A112:C112"/>
    <mergeCell ref="B108:C108"/>
    <mergeCell ref="B109:C109"/>
    <mergeCell ref="B92:C92"/>
    <mergeCell ref="A90:C90"/>
    <mergeCell ref="B85:C85"/>
    <mergeCell ref="A82:C82"/>
    <mergeCell ref="A83:C83"/>
    <mergeCell ref="A91:C91"/>
    <mergeCell ref="B86:C86"/>
    <mergeCell ref="B87:C87"/>
    <mergeCell ref="B88:C88"/>
    <mergeCell ref="B84:C84"/>
    <mergeCell ref="A89:C89"/>
    <mergeCell ref="A1:G1"/>
    <mergeCell ref="A2:G2"/>
    <mergeCell ref="C3:G3"/>
    <mergeCell ref="A10:C10"/>
    <mergeCell ref="C5:G5"/>
    <mergeCell ref="C6:G6"/>
    <mergeCell ref="A7:G7"/>
    <mergeCell ref="A8:G8"/>
    <mergeCell ref="A9:G9"/>
    <mergeCell ref="D10:G10"/>
    <mergeCell ref="C4:G4"/>
    <mergeCell ref="B11:C11"/>
    <mergeCell ref="B12:C12"/>
    <mergeCell ref="B13:C13"/>
    <mergeCell ref="B14:C14"/>
    <mergeCell ref="D11:G11"/>
    <mergeCell ref="D13:G13"/>
    <mergeCell ref="D14:G14"/>
    <mergeCell ref="D12:G12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28" zoomScaleNormal="115" zoomScaleSheetLayoutView="100" workbookViewId="0">
      <selection activeCell="C37" sqref="C37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16384" width="9.140625" style="28"/>
  </cols>
  <sheetData>
    <row r="1" spans="1:5" x14ac:dyDescent="0.25">
      <c r="A1" s="361"/>
      <c r="B1" s="362"/>
      <c r="C1" s="362"/>
      <c r="D1" s="362"/>
      <c r="E1" s="363"/>
    </row>
    <row r="2" spans="1:5" s="38" customFormat="1" ht="16.5" customHeight="1" x14ac:dyDescent="0.25">
      <c r="A2" s="333" t="s">
        <v>127</v>
      </c>
      <c r="B2" s="334"/>
      <c r="C2" s="334"/>
      <c r="D2" s="334"/>
      <c r="E2" s="335"/>
    </row>
    <row r="3" spans="1:5" s="38" customFormat="1" ht="15.75" customHeight="1" x14ac:dyDescent="0.25">
      <c r="A3" s="83" t="s">
        <v>0</v>
      </c>
      <c r="B3" s="145" t="s">
        <v>1</v>
      </c>
      <c r="C3" s="364">
        <v>2025</v>
      </c>
      <c r="D3" s="364"/>
      <c r="E3" s="365"/>
    </row>
    <row r="4" spans="1:5" s="38" customFormat="1" ht="75" customHeight="1" x14ac:dyDescent="0.25">
      <c r="A4" s="83" t="s">
        <v>2</v>
      </c>
      <c r="B4" s="145" t="s">
        <v>135</v>
      </c>
      <c r="C4" s="366" t="s">
        <v>248</v>
      </c>
      <c r="D4" s="366"/>
      <c r="E4" s="367"/>
    </row>
    <row r="5" spans="1:5" s="38" customFormat="1" ht="15.75" customHeight="1" x14ac:dyDescent="0.25">
      <c r="A5" s="83" t="s">
        <v>3</v>
      </c>
      <c r="B5" s="145" t="s">
        <v>4</v>
      </c>
      <c r="C5" s="366" t="s">
        <v>294</v>
      </c>
      <c r="D5" s="366"/>
      <c r="E5" s="367"/>
    </row>
    <row r="6" spans="1:5" s="38" customFormat="1" x14ac:dyDescent="0.25">
      <c r="A6" s="83" t="s">
        <v>5</v>
      </c>
      <c r="B6" s="145" t="s">
        <v>299</v>
      </c>
      <c r="C6" s="366">
        <v>12</v>
      </c>
      <c r="D6" s="366"/>
      <c r="E6" s="367"/>
    </row>
    <row r="7" spans="1:5" s="38" customFormat="1" x14ac:dyDescent="0.25">
      <c r="A7" s="344" t="s">
        <v>6</v>
      </c>
      <c r="B7" s="345"/>
      <c r="C7" s="345"/>
      <c r="D7" s="345"/>
      <c r="E7" s="346"/>
    </row>
    <row r="8" spans="1:5" s="38" customFormat="1" x14ac:dyDescent="0.25">
      <c r="A8" s="344" t="s">
        <v>7</v>
      </c>
      <c r="B8" s="345"/>
      <c r="C8" s="345"/>
      <c r="D8" s="345"/>
      <c r="E8" s="346"/>
    </row>
    <row r="9" spans="1:5" s="38" customFormat="1" ht="15.75" customHeight="1" x14ac:dyDescent="0.25">
      <c r="A9" s="344" t="s">
        <v>8</v>
      </c>
      <c r="B9" s="345"/>
      <c r="C9" s="345"/>
      <c r="D9" s="345"/>
      <c r="E9" s="346"/>
    </row>
    <row r="10" spans="1:5" s="38" customFormat="1" ht="30" customHeight="1" x14ac:dyDescent="0.25">
      <c r="A10" s="358" t="s">
        <v>9</v>
      </c>
      <c r="B10" s="331"/>
      <c r="C10" s="331"/>
      <c r="D10" s="370" t="s">
        <v>10</v>
      </c>
      <c r="E10" s="371"/>
    </row>
    <row r="11" spans="1:5" s="38" customFormat="1" ht="60" customHeight="1" x14ac:dyDescent="0.25">
      <c r="A11" s="83">
        <v>1</v>
      </c>
      <c r="B11" s="268" t="s">
        <v>128</v>
      </c>
      <c r="C11" s="337" t="s">
        <v>249</v>
      </c>
      <c r="D11" s="337"/>
      <c r="E11" s="338"/>
    </row>
    <row r="12" spans="1:5" s="38" customFormat="1" ht="30" customHeight="1" x14ac:dyDescent="0.25">
      <c r="A12" s="83">
        <v>2</v>
      </c>
      <c r="B12" s="268" t="s">
        <v>11</v>
      </c>
      <c r="C12" s="359">
        <v>3325</v>
      </c>
      <c r="D12" s="359"/>
      <c r="E12" s="360"/>
    </row>
    <row r="13" spans="1:5" s="38" customFormat="1" ht="15.75" customHeight="1" x14ac:dyDescent="0.25">
      <c r="A13" s="83">
        <v>3</v>
      </c>
      <c r="B13" s="268" t="s">
        <v>12</v>
      </c>
      <c r="C13" s="337" t="s">
        <v>222</v>
      </c>
      <c r="D13" s="337"/>
      <c r="E13" s="338"/>
    </row>
    <row r="14" spans="1:5" s="38" customFormat="1" x14ac:dyDescent="0.25">
      <c r="A14" s="83">
        <v>4</v>
      </c>
      <c r="B14" s="269" t="s">
        <v>13</v>
      </c>
      <c r="C14" s="339">
        <v>45673</v>
      </c>
      <c r="D14" s="340"/>
      <c r="E14" s="341"/>
    </row>
    <row r="15" spans="1:5" s="39" customFormat="1" ht="30" x14ac:dyDescent="0.25">
      <c r="A15" s="329" t="s">
        <v>14</v>
      </c>
      <c r="B15" s="330"/>
      <c r="C15" s="330"/>
      <c r="D15" s="146" t="s">
        <v>251</v>
      </c>
      <c r="E15" s="148" t="s">
        <v>253</v>
      </c>
    </row>
    <row r="16" spans="1:5" s="39" customFormat="1" x14ac:dyDescent="0.25">
      <c r="A16" s="272">
        <v>1</v>
      </c>
      <c r="B16" s="336" t="s">
        <v>15</v>
      </c>
      <c r="C16" s="336"/>
      <c r="D16" s="149" t="s">
        <v>10</v>
      </c>
      <c r="E16" s="150" t="s">
        <v>10</v>
      </c>
    </row>
    <row r="17" spans="1:5" s="38" customFormat="1" ht="15.75" customHeight="1" x14ac:dyDescent="0.25">
      <c r="A17" s="151" t="s">
        <v>0</v>
      </c>
      <c r="B17" s="152" t="s">
        <v>16</v>
      </c>
      <c r="C17" s="269"/>
      <c r="D17" s="112">
        <f>C12</f>
        <v>3325</v>
      </c>
      <c r="E17" s="196">
        <f>C12</f>
        <v>3325</v>
      </c>
    </row>
    <row r="18" spans="1:5" s="38" customFormat="1" ht="15.75" customHeight="1" x14ac:dyDescent="0.25">
      <c r="A18" s="151" t="s">
        <v>2</v>
      </c>
      <c r="B18" s="152" t="s">
        <v>17</v>
      </c>
      <c r="C18" s="155"/>
      <c r="D18" s="192"/>
      <c r="E18" s="232"/>
    </row>
    <row r="19" spans="1:5" s="38" customFormat="1" ht="15.75" customHeight="1" x14ac:dyDescent="0.25">
      <c r="A19" s="151" t="s">
        <v>3</v>
      </c>
      <c r="B19" s="152" t="s">
        <v>18</v>
      </c>
      <c r="C19" s="158">
        <v>1518</v>
      </c>
      <c r="D19" s="192">
        <f>40%*C19</f>
        <v>607.20000000000005</v>
      </c>
      <c r="E19" s="232">
        <f>40%*C19</f>
        <v>607.20000000000005</v>
      </c>
    </row>
    <row r="20" spans="1:5" s="38" customFormat="1" ht="15.75" customHeight="1" x14ac:dyDescent="0.25">
      <c r="A20" s="151" t="s">
        <v>5</v>
      </c>
      <c r="B20" s="152" t="s">
        <v>19</v>
      </c>
      <c r="C20" s="155"/>
      <c r="D20" s="192"/>
      <c r="E20" s="232"/>
    </row>
    <row r="21" spans="1:5" s="38" customFormat="1" ht="15.75" customHeight="1" x14ac:dyDescent="0.25">
      <c r="A21" s="151" t="s">
        <v>20</v>
      </c>
      <c r="B21" s="152" t="s">
        <v>196</v>
      </c>
      <c r="C21" s="155"/>
      <c r="D21" s="192"/>
      <c r="E21" s="232"/>
    </row>
    <row r="22" spans="1:5" s="38" customFormat="1" x14ac:dyDescent="0.25">
      <c r="A22" s="151" t="s">
        <v>21</v>
      </c>
      <c r="B22" s="152" t="s">
        <v>133</v>
      </c>
      <c r="C22" s="161"/>
      <c r="D22" s="192"/>
      <c r="E22" s="232"/>
    </row>
    <row r="23" spans="1:5" s="38" customFormat="1" ht="15.75" customHeight="1" x14ac:dyDescent="0.25">
      <c r="A23" s="151" t="s">
        <v>22</v>
      </c>
      <c r="B23" s="164" t="s">
        <v>134</v>
      </c>
      <c r="C23" s="161"/>
      <c r="D23" s="192"/>
      <c r="E23" s="232"/>
    </row>
    <row r="24" spans="1:5" s="39" customFormat="1" ht="15.75" customHeight="1" x14ac:dyDescent="0.25">
      <c r="A24" s="313" t="s">
        <v>145</v>
      </c>
      <c r="B24" s="314"/>
      <c r="C24" s="314"/>
      <c r="D24" s="216">
        <f>SUM(D17:D23)</f>
        <v>3932.2</v>
      </c>
      <c r="E24" s="217">
        <f>SUM(E17:E23)</f>
        <v>3932.2</v>
      </c>
    </row>
    <row r="25" spans="1:5" s="39" customFormat="1" x14ac:dyDescent="0.25">
      <c r="A25" s="329" t="s">
        <v>48</v>
      </c>
      <c r="B25" s="330"/>
      <c r="C25" s="330"/>
      <c r="D25" s="330"/>
      <c r="E25" s="376"/>
    </row>
    <row r="26" spans="1:5" s="38" customFormat="1" x14ac:dyDescent="0.25">
      <c r="A26" s="266" t="s">
        <v>136</v>
      </c>
      <c r="B26" s="309" t="s">
        <v>197</v>
      </c>
      <c r="C26" s="316"/>
      <c r="D26" s="169" t="s">
        <v>10</v>
      </c>
      <c r="E26" s="170" t="s">
        <v>10</v>
      </c>
    </row>
    <row r="27" spans="1:5" s="38" customFormat="1" x14ac:dyDescent="0.25">
      <c r="A27" s="171" t="s">
        <v>0</v>
      </c>
      <c r="B27" s="172" t="s">
        <v>28</v>
      </c>
      <c r="C27" s="173">
        <f>1/12</f>
        <v>8.3299999999999999E-2</v>
      </c>
      <c r="D27" s="214">
        <f>(D24)*C27</f>
        <v>327.55</v>
      </c>
      <c r="E27" s="215">
        <f>(E24)*C27</f>
        <v>327.55</v>
      </c>
    </row>
    <row r="28" spans="1:5" s="38" customFormat="1" x14ac:dyDescent="0.25">
      <c r="A28" s="171" t="s">
        <v>2</v>
      </c>
      <c r="B28" s="172" t="s">
        <v>141</v>
      </c>
      <c r="C28" s="173">
        <v>0.1111</v>
      </c>
      <c r="D28" s="214">
        <f>(D24)*C28</f>
        <v>436.87</v>
      </c>
      <c r="E28" s="215">
        <f>(E24)*C28</f>
        <v>436.87</v>
      </c>
    </row>
    <row r="29" spans="1:5" x14ac:dyDescent="0.25">
      <c r="A29" s="322" t="s">
        <v>27</v>
      </c>
      <c r="B29" s="323"/>
      <c r="C29" s="176">
        <f>SUM(C27:C28)</f>
        <v>0.19439999999999999</v>
      </c>
      <c r="D29" s="71">
        <f>SUM(D27:D28)</f>
        <v>764.42</v>
      </c>
      <c r="E29" s="72">
        <f>SUM(E27:E28)</f>
        <v>764.42</v>
      </c>
    </row>
    <row r="30" spans="1:5" ht="32.25" customHeight="1" x14ac:dyDescent="0.25">
      <c r="A30" s="355" t="s">
        <v>182</v>
      </c>
      <c r="B30" s="356"/>
      <c r="C30" s="356"/>
      <c r="D30" s="356"/>
      <c r="E30" s="357"/>
    </row>
    <row r="31" spans="1:5" x14ac:dyDescent="0.25">
      <c r="A31" s="260" t="s">
        <v>136</v>
      </c>
      <c r="B31" s="353" t="s">
        <v>25</v>
      </c>
      <c r="C31" s="354"/>
      <c r="D31" s="271"/>
      <c r="E31" s="219"/>
    </row>
    <row r="32" spans="1:5" x14ac:dyDescent="0.25">
      <c r="A32" s="171" t="s">
        <v>0</v>
      </c>
      <c r="B32" s="180" t="s">
        <v>300</v>
      </c>
      <c r="C32" s="173">
        <v>0.2</v>
      </c>
      <c r="D32" s="214">
        <f t="shared" ref="D32:D39" si="0">($D$24+D$29)*C32</f>
        <v>939.32</v>
      </c>
      <c r="E32" s="215">
        <f t="shared" ref="E32:E39" si="1">($E$24+E$29)*C32</f>
        <v>939.32</v>
      </c>
    </row>
    <row r="33" spans="1:5" x14ac:dyDescent="0.25">
      <c r="A33" s="171" t="s">
        <v>2</v>
      </c>
      <c r="B33" s="180" t="s">
        <v>301</v>
      </c>
      <c r="C33" s="181">
        <v>2.5000000000000001E-2</v>
      </c>
      <c r="D33" s="214">
        <f t="shared" si="0"/>
        <v>117.42</v>
      </c>
      <c r="E33" s="215">
        <f t="shared" si="1"/>
        <v>117.42</v>
      </c>
    </row>
    <row r="34" spans="1:5" ht="45" x14ac:dyDescent="0.25">
      <c r="A34" s="171" t="s">
        <v>3</v>
      </c>
      <c r="B34" s="259" t="s">
        <v>302</v>
      </c>
      <c r="C34" s="181">
        <v>0.03</v>
      </c>
      <c r="D34" s="214">
        <f t="shared" si="0"/>
        <v>140.9</v>
      </c>
      <c r="E34" s="215">
        <f t="shared" si="1"/>
        <v>140.9</v>
      </c>
    </row>
    <row r="35" spans="1:5" x14ac:dyDescent="0.25">
      <c r="A35" s="171" t="s">
        <v>5</v>
      </c>
      <c r="B35" s="180" t="s">
        <v>303</v>
      </c>
      <c r="C35" s="181">
        <v>1.4999999999999999E-2</v>
      </c>
      <c r="D35" s="214">
        <f t="shared" si="0"/>
        <v>70.45</v>
      </c>
      <c r="E35" s="215">
        <f t="shared" si="1"/>
        <v>70.45</v>
      </c>
    </row>
    <row r="36" spans="1:5" x14ac:dyDescent="0.25">
      <c r="A36" s="171" t="s">
        <v>20</v>
      </c>
      <c r="B36" s="180" t="s">
        <v>304</v>
      </c>
      <c r="C36" s="181">
        <v>0.01</v>
      </c>
      <c r="D36" s="214">
        <f t="shared" si="0"/>
        <v>46.97</v>
      </c>
      <c r="E36" s="215">
        <f t="shared" si="1"/>
        <v>46.97</v>
      </c>
    </row>
    <row r="37" spans="1:5" x14ac:dyDescent="0.25">
      <c r="A37" s="171" t="s">
        <v>21</v>
      </c>
      <c r="B37" s="182" t="s">
        <v>200</v>
      </c>
      <c r="C37" s="181">
        <v>6.0000000000000001E-3</v>
      </c>
      <c r="D37" s="214">
        <f t="shared" si="0"/>
        <v>28.18</v>
      </c>
      <c r="E37" s="215">
        <f t="shared" si="1"/>
        <v>28.18</v>
      </c>
    </row>
    <row r="38" spans="1:5" ht="30" x14ac:dyDescent="0.25">
      <c r="A38" s="171" t="s">
        <v>22</v>
      </c>
      <c r="B38" s="259" t="s">
        <v>305</v>
      </c>
      <c r="C38" s="181">
        <v>2E-3</v>
      </c>
      <c r="D38" s="214">
        <f t="shared" si="0"/>
        <v>9.39</v>
      </c>
      <c r="E38" s="215">
        <f t="shared" si="1"/>
        <v>9.39</v>
      </c>
    </row>
    <row r="39" spans="1:5" x14ac:dyDescent="0.25">
      <c r="A39" s="171" t="s">
        <v>26</v>
      </c>
      <c r="B39" s="183" t="s">
        <v>199</v>
      </c>
      <c r="C39" s="181">
        <v>0.08</v>
      </c>
      <c r="D39" s="214">
        <f t="shared" si="0"/>
        <v>375.73</v>
      </c>
      <c r="E39" s="215">
        <f t="shared" si="1"/>
        <v>375.73</v>
      </c>
    </row>
    <row r="40" spans="1:5" s="30" customFormat="1" x14ac:dyDescent="0.25">
      <c r="A40" s="322" t="s">
        <v>27</v>
      </c>
      <c r="B40" s="323"/>
      <c r="C40" s="184">
        <f>SUM(C32:C39)</f>
        <v>0.36799999999999999</v>
      </c>
      <c r="D40" s="71">
        <f>SUM(D32:D39)</f>
        <v>1728.36</v>
      </c>
      <c r="E40" s="72">
        <f>SUM(E32:E39)</f>
        <v>1728.36</v>
      </c>
    </row>
    <row r="41" spans="1:5" s="30" customFormat="1" x14ac:dyDescent="0.25">
      <c r="A41" s="317" t="s">
        <v>166</v>
      </c>
      <c r="B41" s="318"/>
      <c r="C41" s="318"/>
      <c r="D41" s="318"/>
      <c r="E41" s="377"/>
    </row>
    <row r="42" spans="1:5" s="30" customFormat="1" x14ac:dyDescent="0.25">
      <c r="A42" s="187" t="s">
        <v>202</v>
      </c>
      <c r="B42" s="350" t="s">
        <v>203</v>
      </c>
      <c r="C42" s="351"/>
      <c r="D42" s="270"/>
      <c r="E42" s="273"/>
    </row>
    <row r="43" spans="1:5" s="30" customFormat="1" x14ac:dyDescent="0.25">
      <c r="A43" s="189" t="s">
        <v>0</v>
      </c>
      <c r="B43" s="190" t="s">
        <v>137</v>
      </c>
      <c r="C43" s="191"/>
      <c r="D43" s="236">
        <v>0</v>
      </c>
      <c r="E43" s="238">
        <v>139.72</v>
      </c>
    </row>
    <row r="44" spans="1:5" s="30" customFormat="1" x14ac:dyDescent="0.25">
      <c r="A44" s="195" t="s">
        <v>2</v>
      </c>
      <c r="B44" s="164" t="s">
        <v>183</v>
      </c>
      <c r="C44" s="159">
        <v>626.94000000000005</v>
      </c>
      <c r="D44" s="112">
        <f>C44-(C44*0.99%)</f>
        <v>620.73</v>
      </c>
      <c r="E44" s="196">
        <f>C44-(C44*0.99%)</f>
        <v>620.73</v>
      </c>
    </row>
    <row r="45" spans="1:5" s="30" customFormat="1" x14ac:dyDescent="0.25">
      <c r="A45" s="171" t="s">
        <v>3</v>
      </c>
      <c r="B45" s="172" t="s">
        <v>129</v>
      </c>
      <c r="C45" s="174"/>
      <c r="D45" s="198">
        <v>0</v>
      </c>
      <c r="E45" s="199">
        <v>0</v>
      </c>
    </row>
    <row r="46" spans="1:5" s="30" customFormat="1" x14ac:dyDescent="0.25">
      <c r="A46" s="171" t="s">
        <v>5</v>
      </c>
      <c r="B46" s="172" t="s">
        <v>130</v>
      </c>
      <c r="C46" s="173">
        <v>0.5</v>
      </c>
      <c r="D46" s="198">
        <f>(D17*C46*0.0199*2)/12</f>
        <v>5.51</v>
      </c>
      <c r="E46" s="199">
        <f>(E17*C46*0.0199*2)/12</f>
        <v>5.51</v>
      </c>
    </row>
    <row r="47" spans="1:5" s="30" customFormat="1" x14ac:dyDescent="0.25">
      <c r="A47" s="171" t="s">
        <v>20</v>
      </c>
      <c r="B47" s="172" t="s">
        <v>131</v>
      </c>
      <c r="C47" s="174"/>
      <c r="D47" s="277">
        <v>50.76</v>
      </c>
      <c r="E47" s="278">
        <v>50.76</v>
      </c>
    </row>
    <row r="48" spans="1:5" s="30" customFormat="1" ht="15.75" customHeight="1" x14ac:dyDescent="0.25">
      <c r="A48" s="263" t="s">
        <v>23</v>
      </c>
      <c r="B48" s="264"/>
      <c r="C48" s="201"/>
      <c r="D48" s="71">
        <f>SUM(D43:D47)</f>
        <v>677</v>
      </c>
      <c r="E48" s="72">
        <f>SUM(E43:E47)</f>
        <v>816.72</v>
      </c>
    </row>
    <row r="49" spans="1:5" s="30" customFormat="1" ht="15.75" customHeight="1" x14ac:dyDescent="0.25">
      <c r="A49" s="317" t="s">
        <v>210</v>
      </c>
      <c r="B49" s="318"/>
      <c r="C49" s="318"/>
      <c r="D49" s="318"/>
      <c r="E49" s="377"/>
    </row>
    <row r="50" spans="1:5" s="30" customFormat="1" ht="15.75" customHeight="1" x14ac:dyDescent="0.25">
      <c r="A50" s="272" t="s">
        <v>136</v>
      </c>
      <c r="B50" s="203" t="s">
        <v>138</v>
      </c>
      <c r="C50" s="267"/>
      <c r="D50" s="153">
        <f>D29</f>
        <v>764.42</v>
      </c>
      <c r="E50" s="154">
        <f>E29</f>
        <v>764.42</v>
      </c>
    </row>
    <row r="51" spans="1:5" s="30" customFormat="1" ht="15.75" customHeight="1" x14ac:dyDescent="0.25">
      <c r="A51" s="272" t="s">
        <v>201</v>
      </c>
      <c r="B51" s="203" t="s">
        <v>139</v>
      </c>
      <c r="C51" s="267"/>
      <c r="D51" s="153">
        <f>D40</f>
        <v>1728.36</v>
      </c>
      <c r="E51" s="154">
        <f>E40</f>
        <v>1728.36</v>
      </c>
    </row>
    <row r="52" spans="1:5" s="30" customFormat="1" ht="15.75" customHeight="1" x14ac:dyDescent="0.25">
      <c r="A52" s="272" t="s">
        <v>202</v>
      </c>
      <c r="B52" s="203" t="s">
        <v>140</v>
      </c>
      <c r="C52" s="267"/>
      <c r="D52" s="153">
        <f>D48</f>
        <v>677</v>
      </c>
      <c r="E52" s="154">
        <f>E48</f>
        <v>816.72</v>
      </c>
    </row>
    <row r="53" spans="1:5" s="30" customFormat="1" ht="15.75" customHeight="1" x14ac:dyDescent="0.25">
      <c r="A53" s="313" t="s">
        <v>146</v>
      </c>
      <c r="B53" s="314"/>
      <c r="C53" s="314"/>
      <c r="D53" s="216">
        <f>SUM(D50:D52)</f>
        <v>3169.78</v>
      </c>
      <c r="E53" s="217">
        <f>SUM(E50:E52)</f>
        <v>3309.5</v>
      </c>
    </row>
    <row r="54" spans="1:5" s="30" customFormat="1" ht="15.75" customHeight="1" x14ac:dyDescent="0.25">
      <c r="A54" s="329" t="s">
        <v>155</v>
      </c>
      <c r="B54" s="330"/>
      <c r="C54" s="330"/>
      <c r="D54" s="330"/>
      <c r="E54" s="376"/>
    </row>
    <row r="55" spans="1:5" s="30" customFormat="1" ht="15.75" customHeight="1" x14ac:dyDescent="0.25">
      <c r="A55" s="266" t="s">
        <v>192</v>
      </c>
      <c r="B55" s="309" t="s">
        <v>32</v>
      </c>
      <c r="C55" s="310"/>
      <c r="D55" s="169" t="s">
        <v>10</v>
      </c>
      <c r="E55" s="170" t="s">
        <v>10</v>
      </c>
    </row>
    <row r="56" spans="1:5" s="30" customFormat="1" ht="15.75" customHeight="1" x14ac:dyDescent="0.25">
      <c r="A56" s="171" t="s">
        <v>0</v>
      </c>
      <c r="B56" s="172" t="s">
        <v>33</v>
      </c>
      <c r="C56" s="173">
        <v>4.5999999999999999E-3</v>
      </c>
      <c r="D56" s="214">
        <f>D$24*C56</f>
        <v>18.09</v>
      </c>
      <c r="E56" s="215">
        <f>E$24*C56</f>
        <v>18.09</v>
      </c>
    </row>
    <row r="57" spans="1:5" s="30" customFormat="1" ht="15.75" customHeight="1" x14ac:dyDescent="0.25">
      <c r="A57" s="171" t="s">
        <v>2</v>
      </c>
      <c r="B57" s="172" t="s">
        <v>34</v>
      </c>
      <c r="C57" s="173">
        <v>4.0000000000000002E-4</v>
      </c>
      <c r="D57" s="214">
        <f>D$24*C57</f>
        <v>1.57</v>
      </c>
      <c r="E57" s="215">
        <f>E$24*C57</f>
        <v>1.57</v>
      </c>
    </row>
    <row r="58" spans="1:5" s="30" customFormat="1" ht="15.75" customHeight="1" x14ac:dyDescent="0.25">
      <c r="A58" s="171" t="s">
        <v>3</v>
      </c>
      <c r="B58" s="239" t="s">
        <v>35</v>
      </c>
      <c r="C58" s="173">
        <v>1.9400000000000001E-2</v>
      </c>
      <c r="D58" s="214">
        <f>D$24*C58</f>
        <v>76.28</v>
      </c>
      <c r="E58" s="215">
        <f>E$24*C58</f>
        <v>76.28</v>
      </c>
    </row>
    <row r="59" spans="1:5" s="30" customFormat="1" ht="30.75" customHeight="1" x14ac:dyDescent="0.25">
      <c r="A59" s="171" t="s">
        <v>5</v>
      </c>
      <c r="B59" s="172" t="s">
        <v>309</v>
      </c>
      <c r="C59" s="173">
        <v>7.7000000000000002E-3</v>
      </c>
      <c r="D59" s="214">
        <f>D$24*C59</f>
        <v>30.28</v>
      </c>
      <c r="E59" s="215">
        <f>E$24*C59</f>
        <v>30.28</v>
      </c>
    </row>
    <row r="60" spans="1:5" s="30" customFormat="1" ht="15.75" customHeight="1" x14ac:dyDescent="0.25">
      <c r="A60" s="171" t="s">
        <v>20</v>
      </c>
      <c r="B60" s="172" t="s">
        <v>142</v>
      </c>
      <c r="C60" s="173">
        <v>0.04</v>
      </c>
      <c r="D60" s="214">
        <f>D$24*C60</f>
        <v>157.29</v>
      </c>
      <c r="E60" s="215">
        <f>E$24*C60</f>
        <v>157.29</v>
      </c>
    </row>
    <row r="61" spans="1:5" s="30" customFormat="1" ht="15.75" customHeight="1" x14ac:dyDescent="0.25">
      <c r="A61" s="313" t="s">
        <v>147</v>
      </c>
      <c r="B61" s="314"/>
      <c r="C61" s="274">
        <f>SUM(C56:C60)</f>
        <v>7.2099999999999997E-2</v>
      </c>
      <c r="D61" s="216">
        <f>SUM(D56:D60)</f>
        <v>283.51</v>
      </c>
      <c r="E61" s="217">
        <f>SUM(E56:E60)</f>
        <v>283.51</v>
      </c>
    </row>
    <row r="62" spans="1:5" s="30" customFormat="1" x14ac:dyDescent="0.25">
      <c r="A62" s="329" t="s">
        <v>156</v>
      </c>
      <c r="B62" s="330"/>
      <c r="C62" s="330"/>
      <c r="D62" s="330"/>
      <c r="E62" s="376"/>
    </row>
    <row r="63" spans="1:5" s="30" customFormat="1" x14ac:dyDescent="0.25">
      <c r="A63" s="266" t="s">
        <v>191</v>
      </c>
      <c r="B63" s="347" t="s">
        <v>190</v>
      </c>
      <c r="C63" s="347"/>
      <c r="D63" s="169" t="s">
        <v>10</v>
      </c>
      <c r="E63" s="170" t="s">
        <v>10</v>
      </c>
    </row>
    <row r="64" spans="1:5" s="30" customFormat="1" x14ac:dyDescent="0.25">
      <c r="A64" s="171" t="s">
        <v>0</v>
      </c>
      <c r="B64" s="172" t="s">
        <v>184</v>
      </c>
      <c r="C64" s="173">
        <f>C28/12</f>
        <v>9.2999999999999992E-3</v>
      </c>
      <c r="D64" s="214">
        <f t="shared" ref="D64:D69" si="2">(D$24+D$53+D$61+D$85)*C64</f>
        <v>69</v>
      </c>
      <c r="E64" s="215">
        <f t="shared" ref="E64:E69" si="3">(E$24+E$53+E$61+E$85)*C64</f>
        <v>70.3</v>
      </c>
    </row>
    <row r="65" spans="1:5" s="30" customFormat="1" x14ac:dyDescent="0.25">
      <c r="A65" s="171" t="s">
        <v>2</v>
      </c>
      <c r="B65" s="172" t="s">
        <v>185</v>
      </c>
      <c r="C65" s="173">
        <v>1.3899999999999999E-2</v>
      </c>
      <c r="D65" s="214">
        <f t="shared" si="2"/>
        <v>103.13</v>
      </c>
      <c r="E65" s="215">
        <f t="shared" si="3"/>
        <v>105.07</v>
      </c>
    </row>
    <row r="66" spans="1:5" s="30" customFormat="1" x14ac:dyDescent="0.25">
      <c r="A66" s="171" t="s">
        <v>3</v>
      </c>
      <c r="B66" s="172" t="s">
        <v>188</v>
      </c>
      <c r="C66" s="173">
        <v>1.2999999999999999E-3</v>
      </c>
      <c r="D66" s="214">
        <f t="shared" si="2"/>
        <v>9.65</v>
      </c>
      <c r="E66" s="215">
        <f t="shared" si="3"/>
        <v>9.83</v>
      </c>
    </row>
    <row r="67" spans="1:5" s="30" customFormat="1" x14ac:dyDescent="0.25">
      <c r="A67" s="171" t="s">
        <v>5</v>
      </c>
      <c r="B67" s="172" t="s">
        <v>186</v>
      </c>
      <c r="C67" s="173">
        <v>2.0000000000000001E-4</v>
      </c>
      <c r="D67" s="214">
        <f t="shared" si="2"/>
        <v>1.48</v>
      </c>
      <c r="E67" s="215">
        <f t="shared" si="3"/>
        <v>1.51</v>
      </c>
    </row>
    <row r="68" spans="1:5" s="30" customFormat="1" x14ac:dyDescent="0.25">
      <c r="A68" s="171" t="s">
        <v>20</v>
      </c>
      <c r="B68" s="172" t="s">
        <v>297</v>
      </c>
      <c r="C68" s="173">
        <v>2.8E-3</v>
      </c>
      <c r="D68" s="214">
        <f t="shared" si="2"/>
        <v>20.77</v>
      </c>
      <c r="E68" s="215">
        <f t="shared" si="3"/>
        <v>21.17</v>
      </c>
    </row>
    <row r="69" spans="1:5" s="30" customFormat="1" x14ac:dyDescent="0.25">
      <c r="A69" s="171" t="s">
        <v>21</v>
      </c>
      <c r="B69" s="172" t="s">
        <v>187</v>
      </c>
      <c r="C69" s="173">
        <v>2.9999999999999997E-4</v>
      </c>
      <c r="D69" s="214">
        <f t="shared" si="2"/>
        <v>2.23</v>
      </c>
      <c r="E69" s="215">
        <f t="shared" si="3"/>
        <v>2.27</v>
      </c>
    </row>
    <row r="70" spans="1:5" s="30" customFormat="1" ht="15.75" customHeight="1" x14ac:dyDescent="0.25">
      <c r="A70" s="171" t="s">
        <v>22</v>
      </c>
      <c r="B70" s="265" t="s">
        <v>189</v>
      </c>
      <c r="C70" s="173">
        <v>0</v>
      </c>
      <c r="D70" s="214">
        <f t="shared" ref="D70" si="4">(D$24+D$53+D$61+D$85)*C70</f>
        <v>0</v>
      </c>
      <c r="E70" s="215">
        <f t="shared" ref="E70" si="5">(E$24+E$53+E$61+E$85)*C70</f>
        <v>0</v>
      </c>
    </row>
    <row r="71" spans="1:5" s="30" customFormat="1" x14ac:dyDescent="0.25">
      <c r="A71" s="322" t="s">
        <v>29</v>
      </c>
      <c r="B71" s="323"/>
      <c r="C71" s="184">
        <f>SUM(C64:C70)</f>
        <v>2.7799999999999998E-2</v>
      </c>
      <c r="D71" s="71">
        <f>SUM(D64:D70)</f>
        <v>206.26</v>
      </c>
      <c r="E71" s="72">
        <f>SUM(E64:E70)</f>
        <v>210.15</v>
      </c>
    </row>
    <row r="72" spans="1:5" s="30" customFormat="1" x14ac:dyDescent="0.25">
      <c r="A72" s="272"/>
      <c r="B72" s="267"/>
      <c r="C72" s="208"/>
      <c r="D72" s="208"/>
      <c r="E72" s="196"/>
    </row>
    <row r="73" spans="1:5" s="30" customFormat="1" x14ac:dyDescent="0.25">
      <c r="A73" s="272"/>
      <c r="B73" s="336" t="s">
        <v>193</v>
      </c>
      <c r="C73" s="352"/>
      <c r="D73" s="169" t="s">
        <v>10</v>
      </c>
      <c r="E73" s="170" t="s">
        <v>10</v>
      </c>
    </row>
    <row r="74" spans="1:5" s="30" customFormat="1" x14ac:dyDescent="0.25">
      <c r="A74" s="171" t="s">
        <v>0</v>
      </c>
      <c r="B74" s="172" t="s">
        <v>194</v>
      </c>
      <c r="C74" s="173">
        <v>0</v>
      </c>
      <c r="D74" s="214">
        <f>(D$24+D$53+D$61)*C74</f>
        <v>0</v>
      </c>
      <c r="E74" s="215">
        <f>(E$24+E$53+E$61)*C74</f>
        <v>0</v>
      </c>
    </row>
    <row r="75" spans="1:5" s="30" customFormat="1" ht="15.75" customHeight="1" x14ac:dyDescent="0.25">
      <c r="A75" s="322" t="s">
        <v>27</v>
      </c>
      <c r="B75" s="323"/>
      <c r="C75" s="209">
        <f>C74</f>
        <v>0</v>
      </c>
      <c r="D75" s="71">
        <f>D74</f>
        <v>0</v>
      </c>
      <c r="E75" s="72">
        <f>E74</f>
        <v>0</v>
      </c>
    </row>
    <row r="76" spans="1:5" s="30" customFormat="1" ht="15.75" customHeight="1" x14ac:dyDescent="0.25">
      <c r="A76" s="317" t="s">
        <v>30</v>
      </c>
      <c r="B76" s="318"/>
      <c r="C76" s="318"/>
      <c r="D76" s="318"/>
      <c r="E76" s="377"/>
    </row>
    <row r="77" spans="1:5" s="30" customFormat="1" ht="15.75" customHeight="1" x14ac:dyDescent="0.25">
      <c r="A77" s="372" t="s">
        <v>195</v>
      </c>
      <c r="B77" s="373"/>
      <c r="C77" s="373"/>
      <c r="D77" s="373"/>
      <c r="E77" s="378"/>
    </row>
    <row r="78" spans="1:5" s="30" customFormat="1" ht="15.75" customHeight="1" x14ac:dyDescent="0.25">
      <c r="A78" s="266">
        <v>4</v>
      </c>
      <c r="B78" s="309" t="s">
        <v>31</v>
      </c>
      <c r="C78" s="310"/>
      <c r="D78" s="169" t="s">
        <v>10</v>
      </c>
      <c r="E78" s="170" t="s">
        <v>10</v>
      </c>
    </row>
    <row r="79" spans="1:5" s="30" customFormat="1" ht="15.75" customHeight="1" x14ac:dyDescent="0.25">
      <c r="A79" s="171" t="s">
        <v>191</v>
      </c>
      <c r="B79" s="265" t="s">
        <v>190</v>
      </c>
      <c r="C79" s="173">
        <f>C71</f>
        <v>2.7799999999999998E-2</v>
      </c>
      <c r="D79" s="214">
        <f>D71</f>
        <v>206.26</v>
      </c>
      <c r="E79" s="215">
        <f>E71</f>
        <v>210.15</v>
      </c>
    </row>
    <row r="80" spans="1:5" s="30" customFormat="1" ht="15.75" customHeight="1" x14ac:dyDescent="0.25">
      <c r="A80" s="171" t="s">
        <v>207</v>
      </c>
      <c r="B80" s="265" t="s">
        <v>193</v>
      </c>
      <c r="C80" s="173">
        <v>0</v>
      </c>
      <c r="D80" s="214">
        <f>(D$24+D$53+D$61)*C80</f>
        <v>0</v>
      </c>
      <c r="E80" s="215">
        <f>(E$24+E$53+E$61)*C80</f>
        <v>0</v>
      </c>
    </row>
    <row r="81" spans="1:5" s="30" customFormat="1" ht="15.75" customHeight="1" x14ac:dyDescent="0.25">
      <c r="A81" s="322" t="s">
        <v>27</v>
      </c>
      <c r="B81" s="323"/>
      <c r="C81" s="176">
        <f>SUM(C79:C80)</f>
        <v>2.7799999999999998E-2</v>
      </c>
      <c r="D81" s="71">
        <f>SUM(D79:D80)</f>
        <v>206.26</v>
      </c>
      <c r="E81" s="72">
        <f>SUM(E79:E80)</f>
        <v>210.15</v>
      </c>
    </row>
    <row r="82" spans="1:5" s="30" customFormat="1" ht="15.75" customHeight="1" x14ac:dyDescent="0.25">
      <c r="A82" s="313" t="s">
        <v>148</v>
      </c>
      <c r="B82" s="314"/>
      <c r="C82" s="314"/>
      <c r="D82" s="216">
        <f>SUM(D75+D81)</f>
        <v>206.26</v>
      </c>
      <c r="E82" s="217">
        <f>SUM(E75+E81)</f>
        <v>210.15</v>
      </c>
    </row>
    <row r="83" spans="1:5" s="30" customFormat="1" ht="15.75" customHeight="1" x14ac:dyDescent="0.25">
      <c r="A83" s="329" t="s">
        <v>157</v>
      </c>
      <c r="B83" s="330"/>
      <c r="C83" s="330"/>
      <c r="D83" s="330"/>
      <c r="E83" s="376"/>
    </row>
    <row r="84" spans="1:5" s="30" customFormat="1" ht="15.75" customHeight="1" x14ac:dyDescent="0.25">
      <c r="A84" s="266">
        <v>5</v>
      </c>
      <c r="B84" s="309" t="s">
        <v>24</v>
      </c>
      <c r="C84" s="310"/>
      <c r="D84" s="169" t="s">
        <v>10</v>
      </c>
      <c r="E84" s="170" t="s">
        <v>10</v>
      </c>
    </row>
    <row r="85" spans="1:5" s="30" customFormat="1" ht="15.75" customHeight="1" x14ac:dyDescent="0.25">
      <c r="A85" s="195" t="s">
        <v>0</v>
      </c>
      <c r="B85" s="315" t="s">
        <v>208</v>
      </c>
      <c r="C85" s="315"/>
      <c r="D85" s="214">
        <f>Uniformes!H7</f>
        <v>33.93</v>
      </c>
      <c r="E85" s="215">
        <f>Uniformes!H7</f>
        <v>33.93</v>
      </c>
    </row>
    <row r="86" spans="1:5" s="30" customFormat="1" ht="15.75" customHeight="1" x14ac:dyDescent="0.25">
      <c r="A86" s="195" t="s">
        <v>2</v>
      </c>
      <c r="B86" s="315" t="s">
        <v>209</v>
      </c>
      <c r="C86" s="315"/>
      <c r="D86" s="214">
        <f>Materiais!H18</f>
        <v>58.98</v>
      </c>
      <c r="E86" s="215">
        <f>Materiais!H19</f>
        <v>58.98</v>
      </c>
    </row>
    <row r="87" spans="1:5" s="30" customFormat="1" ht="15.75" customHeight="1" x14ac:dyDescent="0.25">
      <c r="A87" s="195" t="s">
        <v>3</v>
      </c>
      <c r="B87" s="315" t="s">
        <v>179</v>
      </c>
      <c r="C87" s="315"/>
      <c r="D87" s="214">
        <f>Equipamentos!H19</f>
        <v>1107.97</v>
      </c>
      <c r="E87" s="215">
        <f>Equipamentos!H20</f>
        <v>1107.97</v>
      </c>
    </row>
    <row r="88" spans="1:5" s="30" customFormat="1" ht="15.75" customHeight="1" x14ac:dyDescent="0.25">
      <c r="A88" s="195" t="s">
        <v>5</v>
      </c>
      <c r="B88" s="315" t="s">
        <v>132</v>
      </c>
      <c r="C88" s="315"/>
      <c r="D88" s="214">
        <v>0</v>
      </c>
      <c r="E88" s="215">
        <v>0</v>
      </c>
    </row>
    <row r="89" spans="1:5" s="30" customFormat="1" ht="15.75" customHeight="1" x14ac:dyDescent="0.25">
      <c r="A89" s="313" t="s">
        <v>149</v>
      </c>
      <c r="B89" s="314"/>
      <c r="C89" s="314"/>
      <c r="D89" s="216">
        <f>SUM(D85:D88)</f>
        <v>1200.8800000000001</v>
      </c>
      <c r="E89" s="217">
        <f>SUM(E85:E88)</f>
        <v>1200.8800000000001</v>
      </c>
    </row>
    <row r="90" spans="1:5" s="30" customFormat="1" ht="30" customHeight="1" x14ac:dyDescent="0.25">
      <c r="A90" s="311" t="s">
        <v>211</v>
      </c>
      <c r="B90" s="312"/>
      <c r="C90" s="312"/>
      <c r="D90" s="241">
        <f>D89+D82+D61+D53+D24</f>
        <v>8792.6299999999992</v>
      </c>
      <c r="E90" s="242">
        <f>E89+E82+E61+E53+E24</f>
        <v>8936.24</v>
      </c>
    </row>
    <row r="91" spans="1:5" s="30" customFormat="1" ht="19.5" customHeight="1" x14ac:dyDescent="0.25">
      <c r="A91" s="329" t="s">
        <v>158</v>
      </c>
      <c r="B91" s="330"/>
      <c r="C91" s="330"/>
      <c r="D91" s="330"/>
      <c r="E91" s="376"/>
    </row>
    <row r="92" spans="1:5" s="30" customFormat="1" ht="15.75" customHeight="1" x14ac:dyDescent="0.25">
      <c r="A92" s="266">
        <v>6</v>
      </c>
      <c r="B92" s="309" t="s">
        <v>38</v>
      </c>
      <c r="C92" s="316"/>
      <c r="D92" s="169" t="s">
        <v>10</v>
      </c>
      <c r="E92" s="170" t="s">
        <v>10</v>
      </c>
    </row>
    <row r="93" spans="1:5" s="30" customFormat="1" ht="15.75" customHeight="1" x14ac:dyDescent="0.25">
      <c r="A93" s="171" t="s">
        <v>0</v>
      </c>
      <c r="B93" s="172" t="s">
        <v>39</v>
      </c>
      <c r="C93" s="220">
        <v>0.05</v>
      </c>
      <c r="D93" s="214">
        <f>+D90*C93</f>
        <v>439.63</v>
      </c>
      <c r="E93" s="215">
        <f>+E90*C93</f>
        <v>446.81</v>
      </c>
    </row>
    <row r="94" spans="1:5" s="30" customFormat="1" ht="15.75" customHeight="1" x14ac:dyDescent="0.25">
      <c r="A94" s="171" t="s">
        <v>2</v>
      </c>
      <c r="B94" s="172" t="s">
        <v>40</v>
      </c>
      <c r="C94" s="220">
        <v>0.1</v>
      </c>
      <c r="D94" s="214">
        <f>C94*(+D90+D93)</f>
        <v>923.23</v>
      </c>
      <c r="E94" s="215">
        <f>C94*(+E90+E93)</f>
        <v>938.31</v>
      </c>
    </row>
    <row r="95" spans="1:5" s="30" customFormat="1" ht="30" x14ac:dyDescent="0.25">
      <c r="A95" s="171"/>
      <c r="B95" s="172" t="s">
        <v>47</v>
      </c>
      <c r="C95" s="173">
        <f>1-C102</f>
        <v>0.85750000000000004</v>
      </c>
      <c r="D95" s="214">
        <f>+D90+D93+D94</f>
        <v>10155.49</v>
      </c>
      <c r="E95" s="215">
        <f>+E90+E93+E94</f>
        <v>10321.36</v>
      </c>
    </row>
    <row r="96" spans="1:5" s="30" customFormat="1" ht="15.75" customHeight="1" x14ac:dyDescent="0.25">
      <c r="A96" s="171"/>
      <c r="B96" s="265"/>
      <c r="C96" s="40"/>
      <c r="D96" s="243">
        <f>+D95/C95</f>
        <v>11843.14</v>
      </c>
      <c r="E96" s="244">
        <f>+E95/C95</f>
        <v>12036.57</v>
      </c>
    </row>
    <row r="97" spans="1:5" s="30" customFormat="1" ht="15.75" customHeight="1" x14ac:dyDescent="0.25">
      <c r="A97" s="171" t="s">
        <v>3</v>
      </c>
      <c r="B97" s="265" t="s">
        <v>41</v>
      </c>
      <c r="C97" s="221">
        <f>C99+C100+C101</f>
        <v>0.14249999999999999</v>
      </c>
      <c r="D97" s="243"/>
      <c r="E97" s="244"/>
    </row>
    <row r="98" spans="1:5" s="30" customFormat="1" ht="15.75" customHeight="1" x14ac:dyDescent="0.25">
      <c r="A98" s="171" t="s">
        <v>289</v>
      </c>
      <c r="B98" s="265" t="s">
        <v>285</v>
      </c>
      <c r="C98" s="221">
        <f>C99+C100</f>
        <v>9.2499999999999999E-2</v>
      </c>
      <c r="D98" s="214"/>
      <c r="E98" s="215"/>
    </row>
    <row r="99" spans="1:5" s="30" customFormat="1" ht="15.75" customHeight="1" x14ac:dyDescent="0.25">
      <c r="A99" s="171" t="s">
        <v>290</v>
      </c>
      <c r="B99" s="172" t="s">
        <v>286</v>
      </c>
      <c r="C99" s="173">
        <v>1.6500000000000001E-2</v>
      </c>
      <c r="D99" s="214">
        <f>+D96*C99</f>
        <v>195.41</v>
      </c>
      <c r="E99" s="215">
        <f>+E96*C99</f>
        <v>198.6</v>
      </c>
    </row>
    <row r="100" spans="1:5" s="30" customFormat="1" ht="15.75" customHeight="1" x14ac:dyDescent="0.25">
      <c r="A100" s="171" t="s">
        <v>291</v>
      </c>
      <c r="B100" s="172" t="s">
        <v>287</v>
      </c>
      <c r="C100" s="173">
        <v>7.5999999999999998E-2</v>
      </c>
      <c r="D100" s="214">
        <f>+D96*C100</f>
        <v>900.08</v>
      </c>
      <c r="E100" s="215">
        <f>+E96*C100</f>
        <v>914.78</v>
      </c>
    </row>
    <row r="101" spans="1:5" s="30" customFormat="1" ht="15.75" customHeight="1" x14ac:dyDescent="0.25">
      <c r="A101" s="171" t="s">
        <v>292</v>
      </c>
      <c r="B101" s="172" t="s">
        <v>288</v>
      </c>
      <c r="C101" s="173">
        <v>0.05</v>
      </c>
      <c r="D101" s="214">
        <f>+D96*C101</f>
        <v>592.16</v>
      </c>
      <c r="E101" s="215">
        <f>+E96*C101</f>
        <v>601.83000000000004</v>
      </c>
    </row>
    <row r="102" spans="1:5" s="30" customFormat="1" ht="15.75" customHeight="1" x14ac:dyDescent="0.25">
      <c r="A102" s="266"/>
      <c r="B102" s="224" t="s">
        <v>42</v>
      </c>
      <c r="C102" s="225">
        <f>C97</f>
        <v>0.14249999999999999</v>
      </c>
      <c r="D102" s="226">
        <f>SUM(D99:D101)</f>
        <v>1687.65</v>
      </c>
      <c r="E102" s="227">
        <f>SUM(E99:E101)</f>
        <v>1715.21</v>
      </c>
    </row>
    <row r="103" spans="1:5" s="30" customFormat="1" ht="15.75" customHeight="1" x14ac:dyDescent="0.25">
      <c r="A103" s="322" t="s">
        <v>43</v>
      </c>
      <c r="B103" s="323"/>
      <c r="C103" s="323"/>
      <c r="D103" s="71">
        <f>+D93+D94+D102</f>
        <v>3050.51</v>
      </c>
      <c r="E103" s="72">
        <f>+E93+E94+E102</f>
        <v>3100.33</v>
      </c>
    </row>
    <row r="104" spans="1:5" s="30" customFormat="1" ht="15.75" customHeight="1" x14ac:dyDescent="0.25">
      <c r="A104" s="374" t="s">
        <v>44</v>
      </c>
      <c r="B104" s="375"/>
      <c r="C104" s="375"/>
      <c r="D104" s="245" t="s">
        <v>10</v>
      </c>
      <c r="E104" s="246" t="s">
        <v>10</v>
      </c>
    </row>
    <row r="105" spans="1:5" s="30" customFormat="1" ht="15.75" customHeight="1" x14ac:dyDescent="0.25">
      <c r="A105" s="171" t="s">
        <v>0</v>
      </c>
      <c r="B105" s="326" t="s">
        <v>45</v>
      </c>
      <c r="C105" s="326"/>
      <c r="D105" s="214">
        <f>+D24</f>
        <v>3932.2</v>
      </c>
      <c r="E105" s="215">
        <f>+E24</f>
        <v>3932.2</v>
      </c>
    </row>
    <row r="106" spans="1:5" s="30" customFormat="1" ht="15.75" customHeight="1" x14ac:dyDescent="0.25">
      <c r="A106" s="171" t="s">
        <v>2</v>
      </c>
      <c r="B106" s="326" t="s">
        <v>152</v>
      </c>
      <c r="C106" s="326"/>
      <c r="D106" s="214">
        <f>+D53</f>
        <v>3169.78</v>
      </c>
      <c r="E106" s="215">
        <f>+E53</f>
        <v>3309.5</v>
      </c>
    </row>
    <row r="107" spans="1:5" s="30" customFormat="1" ht="15.75" customHeight="1" x14ac:dyDescent="0.25">
      <c r="A107" s="171" t="s">
        <v>3</v>
      </c>
      <c r="B107" s="326" t="s">
        <v>150</v>
      </c>
      <c r="C107" s="326"/>
      <c r="D107" s="214">
        <f>D61</f>
        <v>283.51</v>
      </c>
      <c r="E107" s="215">
        <f>E61</f>
        <v>283.51</v>
      </c>
    </row>
    <row r="108" spans="1:5" s="30" customFormat="1" ht="15.75" customHeight="1" x14ac:dyDescent="0.25">
      <c r="A108" s="171" t="s">
        <v>5</v>
      </c>
      <c r="B108" s="326" t="s">
        <v>143</v>
      </c>
      <c r="C108" s="326"/>
      <c r="D108" s="214">
        <f>D82</f>
        <v>206.26</v>
      </c>
      <c r="E108" s="215">
        <f>E82</f>
        <v>210.15</v>
      </c>
    </row>
    <row r="109" spans="1:5" s="30" customFormat="1" ht="15.75" customHeight="1" x14ac:dyDescent="0.25">
      <c r="A109" s="171" t="s">
        <v>20</v>
      </c>
      <c r="B109" s="326" t="s">
        <v>151</v>
      </c>
      <c r="C109" s="326"/>
      <c r="D109" s="214">
        <f>D89</f>
        <v>1200.8800000000001</v>
      </c>
      <c r="E109" s="215">
        <f>E89</f>
        <v>1200.8800000000001</v>
      </c>
    </row>
    <row r="110" spans="1:5" s="30" customFormat="1" ht="15.75" customHeight="1" x14ac:dyDescent="0.25">
      <c r="A110" s="327" t="s">
        <v>295</v>
      </c>
      <c r="B110" s="328"/>
      <c r="C110" s="328"/>
      <c r="D110" s="226">
        <f>SUM(D105:D109)</f>
        <v>8792.6299999999992</v>
      </c>
      <c r="E110" s="227">
        <f>SUM(E105:E109)</f>
        <v>8936.24</v>
      </c>
    </row>
    <row r="111" spans="1:5" s="30" customFormat="1" ht="15.75" customHeight="1" x14ac:dyDescent="0.25">
      <c r="A111" s="171" t="s">
        <v>21</v>
      </c>
      <c r="B111" s="326" t="s">
        <v>154</v>
      </c>
      <c r="C111" s="326"/>
      <c r="D111" s="214">
        <f>+D103</f>
        <v>3050.51</v>
      </c>
      <c r="E111" s="215">
        <f>+E103</f>
        <v>3100.33</v>
      </c>
    </row>
    <row r="112" spans="1:5" s="30" customFormat="1" ht="15.75" customHeight="1" thickBot="1" x14ac:dyDescent="0.3">
      <c r="A112" s="319" t="s">
        <v>46</v>
      </c>
      <c r="B112" s="320"/>
      <c r="C112" s="320"/>
      <c r="D112" s="247">
        <f>+D110+D111</f>
        <v>11843.14</v>
      </c>
      <c r="E112" s="248">
        <f>+E110+E111</f>
        <v>12036.57</v>
      </c>
    </row>
    <row r="113" spans="2:5" x14ac:dyDescent="0.25">
      <c r="C113" s="31"/>
      <c r="D113" s="31"/>
      <c r="E113" s="33"/>
    </row>
    <row r="114" spans="2:5" x14ac:dyDescent="0.25">
      <c r="B114" s="28"/>
      <c r="C114" s="31"/>
      <c r="D114" s="31"/>
      <c r="E114" s="34"/>
    </row>
    <row r="115" spans="2:5" x14ac:dyDescent="0.25">
      <c r="B115" s="28"/>
      <c r="C115" s="31"/>
      <c r="D115" s="31"/>
      <c r="E115" s="34" t="s">
        <v>126</v>
      </c>
    </row>
    <row r="116" spans="2:5" x14ac:dyDescent="0.25">
      <c r="B116" s="28"/>
      <c r="C116" s="321"/>
      <c r="D116" s="321"/>
      <c r="E116" s="321"/>
    </row>
    <row r="117" spans="2:5" x14ac:dyDescent="0.25">
      <c r="B117" s="28"/>
      <c r="C117" s="31"/>
      <c r="D117" s="31"/>
      <c r="E117" s="35"/>
    </row>
    <row r="119" spans="2:5" x14ac:dyDescent="0.25">
      <c r="B119" s="36"/>
    </row>
    <row r="124" spans="2:5" x14ac:dyDescent="0.25">
      <c r="B124" s="28"/>
    </row>
  </sheetData>
  <mergeCells count="62">
    <mergeCell ref="C116:E116"/>
    <mergeCell ref="B105:C105"/>
    <mergeCell ref="B106:C106"/>
    <mergeCell ref="B107:C107"/>
    <mergeCell ref="B108:C108"/>
    <mergeCell ref="B109:C109"/>
    <mergeCell ref="A110:C110"/>
    <mergeCell ref="A62:E62"/>
    <mergeCell ref="B63:C63"/>
    <mergeCell ref="A71:B71"/>
    <mergeCell ref="B111:C111"/>
    <mergeCell ref="A112:C112"/>
    <mergeCell ref="A76:E76"/>
    <mergeCell ref="A77:E77"/>
    <mergeCell ref="B78:C78"/>
    <mergeCell ref="A75:B75"/>
    <mergeCell ref="A61:B61"/>
    <mergeCell ref="A104:C104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A83:E83"/>
    <mergeCell ref="A81:B81"/>
    <mergeCell ref="A82:C82"/>
    <mergeCell ref="B73:C73"/>
    <mergeCell ref="B55:C55"/>
    <mergeCell ref="A25:E25"/>
    <mergeCell ref="B26:C26"/>
    <mergeCell ref="A29:B29"/>
    <mergeCell ref="A30:E30"/>
    <mergeCell ref="B31:C31"/>
    <mergeCell ref="A40:B40"/>
    <mergeCell ref="A41:E41"/>
    <mergeCell ref="B42:C42"/>
    <mergeCell ref="A49:E49"/>
    <mergeCell ref="A53:C53"/>
    <mergeCell ref="A54:E54"/>
    <mergeCell ref="A24:C24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C6:E6"/>
    <mergeCell ref="C5:E5"/>
    <mergeCell ref="A1:E1"/>
    <mergeCell ref="A2:E2"/>
    <mergeCell ref="C3:E3"/>
    <mergeCell ref="C4:E4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28" zoomScaleNormal="115" zoomScaleSheetLayoutView="100" workbookViewId="0">
      <selection activeCell="D47" sqref="D47:E47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361"/>
      <c r="B1" s="362"/>
      <c r="C1" s="362"/>
      <c r="D1" s="362"/>
      <c r="E1" s="363"/>
    </row>
    <row r="2" spans="1:5" s="38" customFormat="1" ht="16.5" customHeight="1" x14ac:dyDescent="0.25">
      <c r="A2" s="333" t="s">
        <v>127</v>
      </c>
      <c r="B2" s="334"/>
      <c r="C2" s="334"/>
      <c r="D2" s="334"/>
      <c r="E2" s="335"/>
    </row>
    <row r="3" spans="1:5" s="38" customFormat="1" ht="15.75" customHeight="1" x14ac:dyDescent="0.25">
      <c r="A3" s="83" t="s">
        <v>0</v>
      </c>
      <c r="B3" s="145" t="s">
        <v>1</v>
      </c>
      <c r="C3" s="364">
        <v>2025</v>
      </c>
      <c r="D3" s="364"/>
      <c r="E3" s="365"/>
    </row>
    <row r="4" spans="1:5" s="38" customFormat="1" ht="75" customHeight="1" x14ac:dyDescent="0.25">
      <c r="A4" s="83" t="s">
        <v>2</v>
      </c>
      <c r="B4" s="145" t="s">
        <v>135</v>
      </c>
      <c r="C4" s="366" t="s">
        <v>248</v>
      </c>
      <c r="D4" s="366"/>
      <c r="E4" s="367"/>
    </row>
    <row r="5" spans="1:5" s="38" customFormat="1" ht="15.75" customHeight="1" x14ac:dyDescent="0.25">
      <c r="A5" s="83" t="s">
        <v>3</v>
      </c>
      <c r="B5" s="145" t="s">
        <v>4</v>
      </c>
      <c r="C5" s="366" t="s">
        <v>294</v>
      </c>
      <c r="D5" s="366"/>
      <c r="E5" s="367"/>
    </row>
    <row r="6" spans="1:5" s="38" customFormat="1" x14ac:dyDescent="0.25">
      <c r="A6" s="83" t="s">
        <v>5</v>
      </c>
      <c r="B6" s="145" t="s">
        <v>299</v>
      </c>
      <c r="C6" s="366">
        <v>12</v>
      </c>
      <c r="D6" s="366"/>
      <c r="E6" s="367"/>
    </row>
    <row r="7" spans="1:5" s="38" customFormat="1" x14ac:dyDescent="0.25">
      <c r="A7" s="344" t="s">
        <v>6</v>
      </c>
      <c r="B7" s="345"/>
      <c r="C7" s="345"/>
      <c r="D7" s="345"/>
      <c r="E7" s="346"/>
    </row>
    <row r="8" spans="1:5" s="38" customFormat="1" x14ac:dyDescent="0.25">
      <c r="A8" s="344" t="s">
        <v>7</v>
      </c>
      <c r="B8" s="345"/>
      <c r="C8" s="345"/>
      <c r="D8" s="345"/>
      <c r="E8" s="346"/>
    </row>
    <row r="9" spans="1:5" s="38" customFormat="1" ht="15.75" customHeight="1" x14ac:dyDescent="0.25">
      <c r="A9" s="344" t="s">
        <v>8</v>
      </c>
      <c r="B9" s="345"/>
      <c r="C9" s="345"/>
      <c r="D9" s="345"/>
      <c r="E9" s="346"/>
    </row>
    <row r="10" spans="1:5" s="38" customFormat="1" ht="30" customHeight="1" x14ac:dyDescent="0.25">
      <c r="A10" s="358" t="s">
        <v>9</v>
      </c>
      <c r="B10" s="331"/>
      <c r="C10" s="331"/>
      <c r="D10" s="370" t="s">
        <v>10</v>
      </c>
      <c r="E10" s="371"/>
    </row>
    <row r="11" spans="1:5" s="38" customFormat="1" ht="60" customHeight="1" x14ac:dyDescent="0.25">
      <c r="A11" s="83">
        <v>1</v>
      </c>
      <c r="B11" s="268" t="s">
        <v>128</v>
      </c>
      <c r="C11" s="337" t="s">
        <v>249</v>
      </c>
      <c r="D11" s="337"/>
      <c r="E11" s="338"/>
    </row>
    <row r="12" spans="1:5" s="38" customFormat="1" ht="30" customHeight="1" x14ac:dyDescent="0.25">
      <c r="A12" s="83">
        <v>2</v>
      </c>
      <c r="B12" s="268" t="s">
        <v>11</v>
      </c>
      <c r="C12" s="359">
        <v>3325</v>
      </c>
      <c r="D12" s="359"/>
      <c r="E12" s="360"/>
    </row>
    <row r="13" spans="1:5" s="38" customFormat="1" ht="15.75" customHeight="1" x14ac:dyDescent="0.25">
      <c r="A13" s="83">
        <v>3</v>
      </c>
      <c r="B13" s="268" t="s">
        <v>12</v>
      </c>
      <c r="C13" s="337" t="s">
        <v>221</v>
      </c>
      <c r="D13" s="337"/>
      <c r="E13" s="338"/>
    </row>
    <row r="14" spans="1:5" s="38" customFormat="1" x14ac:dyDescent="0.25">
      <c r="A14" s="83">
        <v>4</v>
      </c>
      <c r="B14" s="269" t="s">
        <v>13</v>
      </c>
      <c r="C14" s="339">
        <v>45673</v>
      </c>
      <c r="D14" s="340"/>
      <c r="E14" s="341"/>
    </row>
    <row r="15" spans="1:5" s="39" customFormat="1" ht="30" x14ac:dyDescent="0.25">
      <c r="A15" s="329" t="s">
        <v>14</v>
      </c>
      <c r="B15" s="330"/>
      <c r="C15" s="330"/>
      <c r="D15" s="146" t="s">
        <v>251</v>
      </c>
      <c r="E15" s="148" t="s">
        <v>253</v>
      </c>
    </row>
    <row r="16" spans="1:5" s="39" customFormat="1" x14ac:dyDescent="0.25">
      <c r="A16" s="272">
        <v>1</v>
      </c>
      <c r="B16" s="336" t="s">
        <v>15</v>
      </c>
      <c r="C16" s="336"/>
      <c r="D16" s="149" t="s">
        <v>10</v>
      </c>
      <c r="E16" s="150" t="s">
        <v>10</v>
      </c>
    </row>
    <row r="17" spans="1:5" s="38" customFormat="1" ht="15.75" customHeight="1" x14ac:dyDescent="0.25">
      <c r="A17" s="151" t="s">
        <v>0</v>
      </c>
      <c r="B17" s="152" t="s">
        <v>16</v>
      </c>
      <c r="C17" s="269"/>
      <c r="D17" s="112">
        <f>C12</f>
        <v>3325</v>
      </c>
      <c r="E17" s="196">
        <f>C12</f>
        <v>3325</v>
      </c>
    </row>
    <row r="18" spans="1:5" s="38" customFormat="1" ht="15.75" customHeight="1" x14ac:dyDescent="0.25">
      <c r="A18" s="151" t="s">
        <v>2</v>
      </c>
      <c r="B18" s="152" t="s">
        <v>17</v>
      </c>
      <c r="C18" s="155"/>
      <c r="D18" s="192"/>
      <c r="E18" s="232"/>
    </row>
    <row r="19" spans="1:5" s="38" customFormat="1" ht="15.75" customHeight="1" x14ac:dyDescent="0.25">
      <c r="A19" s="151" t="s">
        <v>3</v>
      </c>
      <c r="B19" s="152" t="s">
        <v>18</v>
      </c>
      <c r="C19" s="158">
        <v>1518</v>
      </c>
      <c r="D19" s="192">
        <f>40%*C19</f>
        <v>607.20000000000005</v>
      </c>
      <c r="E19" s="232">
        <f>40%*C19</f>
        <v>607.20000000000005</v>
      </c>
    </row>
    <row r="20" spans="1:5" s="38" customFormat="1" ht="15.75" customHeight="1" x14ac:dyDescent="0.25">
      <c r="A20" s="151" t="s">
        <v>5</v>
      </c>
      <c r="B20" s="152" t="s">
        <v>19</v>
      </c>
      <c r="C20" s="155"/>
      <c r="D20" s="192">
        <f>((((D17+D19)/220)*20%)*8)*15.21</f>
        <v>434.97</v>
      </c>
      <c r="E20" s="232">
        <f>((((E17+E19)/220)*20%)*8)*15.21</f>
        <v>434.97</v>
      </c>
    </row>
    <row r="21" spans="1:5" s="38" customFormat="1" ht="15.75" customHeight="1" x14ac:dyDescent="0.25">
      <c r="A21" s="151" t="s">
        <v>20</v>
      </c>
      <c r="B21" s="152" t="s">
        <v>196</v>
      </c>
      <c r="C21" s="155"/>
      <c r="D21" s="192"/>
      <c r="E21" s="232"/>
    </row>
    <row r="22" spans="1:5" s="38" customFormat="1" x14ac:dyDescent="0.25">
      <c r="A22" s="151" t="s">
        <v>21</v>
      </c>
      <c r="B22" s="152" t="s">
        <v>133</v>
      </c>
      <c r="C22" s="161"/>
      <c r="D22" s="192"/>
      <c r="E22" s="232"/>
    </row>
    <row r="23" spans="1:5" s="38" customFormat="1" ht="15.75" customHeight="1" x14ac:dyDescent="0.25">
      <c r="A23" s="151" t="s">
        <v>22</v>
      </c>
      <c r="B23" s="164" t="s">
        <v>134</v>
      </c>
      <c r="C23" s="161"/>
      <c r="D23" s="192"/>
      <c r="E23" s="232"/>
    </row>
    <row r="24" spans="1:5" s="39" customFormat="1" ht="15.75" customHeight="1" x14ac:dyDescent="0.25">
      <c r="A24" s="313" t="s">
        <v>145</v>
      </c>
      <c r="B24" s="314"/>
      <c r="C24" s="314"/>
      <c r="D24" s="216">
        <f>SUM(D17:D23)</f>
        <v>4367.17</v>
      </c>
      <c r="E24" s="217">
        <f>SUM(E17:E23)</f>
        <v>4367.17</v>
      </c>
    </row>
    <row r="25" spans="1:5" s="39" customFormat="1" x14ac:dyDescent="0.25">
      <c r="A25" s="329" t="s">
        <v>48</v>
      </c>
      <c r="B25" s="330"/>
      <c r="C25" s="330"/>
      <c r="D25" s="330"/>
      <c r="E25" s="376"/>
    </row>
    <row r="26" spans="1:5" s="38" customFormat="1" x14ac:dyDescent="0.25">
      <c r="A26" s="266" t="s">
        <v>136</v>
      </c>
      <c r="B26" s="309" t="s">
        <v>197</v>
      </c>
      <c r="C26" s="316"/>
      <c r="D26" s="169" t="s">
        <v>10</v>
      </c>
      <c r="E26" s="170" t="s">
        <v>10</v>
      </c>
    </row>
    <row r="27" spans="1:5" s="38" customFormat="1" x14ac:dyDescent="0.25">
      <c r="A27" s="171" t="s">
        <v>0</v>
      </c>
      <c r="B27" s="172" t="s">
        <v>28</v>
      </c>
      <c r="C27" s="173">
        <f>1/12</f>
        <v>8.3299999999999999E-2</v>
      </c>
      <c r="D27" s="214">
        <f>(D24)*C27</f>
        <v>363.79</v>
      </c>
      <c r="E27" s="215">
        <f>(E24)*C27</f>
        <v>363.79</v>
      </c>
    </row>
    <row r="28" spans="1:5" s="38" customFormat="1" x14ac:dyDescent="0.25">
      <c r="A28" s="171" t="s">
        <v>2</v>
      </c>
      <c r="B28" s="172" t="s">
        <v>141</v>
      </c>
      <c r="C28" s="173">
        <v>0.1111</v>
      </c>
      <c r="D28" s="214">
        <f>(D24)*C28</f>
        <v>485.19</v>
      </c>
      <c r="E28" s="215">
        <f>(E24)*C28</f>
        <v>485.19</v>
      </c>
    </row>
    <row r="29" spans="1:5" x14ac:dyDescent="0.25">
      <c r="A29" s="322" t="s">
        <v>27</v>
      </c>
      <c r="B29" s="323"/>
      <c r="C29" s="176">
        <f>SUM(C27:C28)</f>
        <v>0.19439999999999999</v>
      </c>
      <c r="D29" s="71">
        <f>SUM(D27:D28)</f>
        <v>848.98</v>
      </c>
      <c r="E29" s="72">
        <f>SUM(E27:E28)</f>
        <v>848.98</v>
      </c>
    </row>
    <row r="30" spans="1:5" ht="32.25" customHeight="1" x14ac:dyDescent="0.25">
      <c r="A30" s="355" t="s">
        <v>182</v>
      </c>
      <c r="B30" s="356"/>
      <c r="C30" s="356"/>
      <c r="D30" s="356"/>
      <c r="E30" s="357"/>
    </row>
    <row r="31" spans="1:5" x14ac:dyDescent="0.25">
      <c r="A31" s="260" t="s">
        <v>136</v>
      </c>
      <c r="B31" s="353" t="s">
        <v>25</v>
      </c>
      <c r="C31" s="354"/>
      <c r="D31" s="218" t="s">
        <v>10</v>
      </c>
      <c r="E31" s="219" t="s">
        <v>10</v>
      </c>
    </row>
    <row r="32" spans="1:5" x14ac:dyDescent="0.25">
      <c r="A32" s="171" t="s">
        <v>0</v>
      </c>
      <c r="B32" s="180" t="s">
        <v>300</v>
      </c>
      <c r="C32" s="173">
        <v>0.2</v>
      </c>
      <c r="D32" s="214">
        <f t="shared" ref="D32:D39" si="0">($D$24+D$29)*C32</f>
        <v>1043.23</v>
      </c>
      <c r="E32" s="215">
        <f t="shared" ref="E32:E39" si="1">($E$24+E$29)*C32</f>
        <v>1043.23</v>
      </c>
    </row>
    <row r="33" spans="1:5" x14ac:dyDescent="0.25">
      <c r="A33" s="171" t="s">
        <v>2</v>
      </c>
      <c r="B33" s="180" t="s">
        <v>301</v>
      </c>
      <c r="C33" s="181">
        <v>2.5000000000000001E-2</v>
      </c>
      <c r="D33" s="214">
        <f t="shared" si="0"/>
        <v>130.4</v>
      </c>
      <c r="E33" s="215">
        <f t="shared" si="1"/>
        <v>130.4</v>
      </c>
    </row>
    <row r="34" spans="1:5" ht="45" x14ac:dyDescent="0.25">
      <c r="A34" s="171" t="s">
        <v>3</v>
      </c>
      <c r="B34" s="259" t="s">
        <v>302</v>
      </c>
      <c r="C34" s="181">
        <v>0.03</v>
      </c>
      <c r="D34" s="214">
        <f t="shared" si="0"/>
        <v>156.47999999999999</v>
      </c>
      <c r="E34" s="215">
        <f t="shared" si="1"/>
        <v>156.47999999999999</v>
      </c>
    </row>
    <row r="35" spans="1:5" x14ac:dyDescent="0.25">
      <c r="A35" s="171" t="s">
        <v>5</v>
      </c>
      <c r="B35" s="180" t="s">
        <v>303</v>
      </c>
      <c r="C35" s="181">
        <v>1.4999999999999999E-2</v>
      </c>
      <c r="D35" s="214">
        <f t="shared" si="0"/>
        <v>78.239999999999995</v>
      </c>
      <c r="E35" s="215">
        <f t="shared" si="1"/>
        <v>78.239999999999995</v>
      </c>
    </row>
    <row r="36" spans="1:5" x14ac:dyDescent="0.25">
      <c r="A36" s="171" t="s">
        <v>20</v>
      </c>
      <c r="B36" s="180" t="s">
        <v>304</v>
      </c>
      <c r="C36" s="181">
        <v>0.01</v>
      </c>
      <c r="D36" s="214">
        <f t="shared" si="0"/>
        <v>52.16</v>
      </c>
      <c r="E36" s="215">
        <f t="shared" si="1"/>
        <v>52.16</v>
      </c>
    </row>
    <row r="37" spans="1:5" x14ac:dyDescent="0.25">
      <c r="A37" s="171" t="s">
        <v>21</v>
      </c>
      <c r="B37" s="182" t="s">
        <v>200</v>
      </c>
      <c r="C37" s="181">
        <v>6.0000000000000001E-3</v>
      </c>
      <c r="D37" s="214">
        <f t="shared" si="0"/>
        <v>31.3</v>
      </c>
      <c r="E37" s="215">
        <f t="shared" si="1"/>
        <v>31.3</v>
      </c>
    </row>
    <row r="38" spans="1:5" ht="30" x14ac:dyDescent="0.25">
      <c r="A38" s="171" t="s">
        <v>22</v>
      </c>
      <c r="B38" s="259" t="s">
        <v>305</v>
      </c>
      <c r="C38" s="181">
        <v>2E-3</v>
      </c>
      <c r="D38" s="214">
        <f t="shared" si="0"/>
        <v>10.43</v>
      </c>
      <c r="E38" s="215">
        <f t="shared" si="1"/>
        <v>10.43</v>
      </c>
    </row>
    <row r="39" spans="1:5" x14ac:dyDescent="0.25">
      <c r="A39" s="171" t="s">
        <v>26</v>
      </c>
      <c r="B39" s="183" t="s">
        <v>199</v>
      </c>
      <c r="C39" s="181">
        <v>0.08</v>
      </c>
      <c r="D39" s="214">
        <f t="shared" si="0"/>
        <v>417.29</v>
      </c>
      <c r="E39" s="215">
        <f t="shared" si="1"/>
        <v>417.29</v>
      </c>
    </row>
    <row r="40" spans="1:5" s="30" customFormat="1" x14ac:dyDescent="0.25">
      <c r="A40" s="322" t="s">
        <v>27</v>
      </c>
      <c r="B40" s="323"/>
      <c r="C40" s="184">
        <f>SUM(C32:C39)</f>
        <v>0.36799999999999999</v>
      </c>
      <c r="D40" s="71">
        <f>SUM(D32:D39)</f>
        <v>1919.53</v>
      </c>
      <c r="E40" s="72">
        <f>SUM(E32:E39)</f>
        <v>1919.53</v>
      </c>
    </row>
    <row r="41" spans="1:5" s="30" customFormat="1" x14ac:dyDescent="0.25">
      <c r="A41" s="317" t="s">
        <v>166</v>
      </c>
      <c r="B41" s="318"/>
      <c r="C41" s="318"/>
      <c r="D41" s="318"/>
      <c r="E41" s="377"/>
    </row>
    <row r="42" spans="1:5" s="30" customFormat="1" x14ac:dyDescent="0.25">
      <c r="A42" s="187" t="s">
        <v>202</v>
      </c>
      <c r="B42" s="249" t="s">
        <v>203</v>
      </c>
      <c r="C42" s="235"/>
      <c r="D42" s="235"/>
      <c r="E42" s="188"/>
    </row>
    <row r="43" spans="1:5" s="30" customFormat="1" x14ac:dyDescent="0.25">
      <c r="A43" s="189" t="s">
        <v>0</v>
      </c>
      <c r="B43" s="190" t="s">
        <v>137</v>
      </c>
      <c r="C43" s="191"/>
      <c r="D43" s="236">
        <v>0</v>
      </c>
      <c r="E43" s="238">
        <v>139.72</v>
      </c>
    </row>
    <row r="44" spans="1:5" s="30" customFormat="1" x14ac:dyDescent="0.25">
      <c r="A44" s="195" t="s">
        <v>2</v>
      </c>
      <c r="B44" s="164" t="s">
        <v>183</v>
      </c>
      <c r="C44" s="159">
        <v>626.94000000000005</v>
      </c>
      <c r="D44" s="112">
        <f>C44-(C44*0.99%)</f>
        <v>620.73</v>
      </c>
      <c r="E44" s="196">
        <f>C44-(C44*0.99%)</f>
        <v>620.73</v>
      </c>
    </row>
    <row r="45" spans="1:5" s="30" customFormat="1" x14ac:dyDescent="0.25">
      <c r="A45" s="171" t="s">
        <v>3</v>
      </c>
      <c r="B45" s="172" t="s">
        <v>129</v>
      </c>
      <c r="C45" s="174"/>
      <c r="D45" s="198">
        <v>0</v>
      </c>
      <c r="E45" s="199">
        <v>0</v>
      </c>
    </row>
    <row r="46" spans="1:5" s="30" customFormat="1" x14ac:dyDescent="0.25">
      <c r="A46" s="171" t="s">
        <v>5</v>
      </c>
      <c r="B46" s="172" t="s">
        <v>130</v>
      </c>
      <c r="C46" s="173">
        <v>0.5</v>
      </c>
      <c r="D46" s="198">
        <f>(D17*C46*0.0199*2)/12</f>
        <v>5.51</v>
      </c>
      <c r="E46" s="199">
        <f>(E17*C46*0.0199*2)/12</f>
        <v>5.51</v>
      </c>
    </row>
    <row r="47" spans="1:5" s="30" customFormat="1" x14ac:dyDescent="0.25">
      <c r="A47" s="171" t="s">
        <v>20</v>
      </c>
      <c r="B47" s="172" t="s">
        <v>131</v>
      </c>
      <c r="C47" s="174"/>
      <c r="D47" s="277">
        <v>50.76</v>
      </c>
      <c r="E47" s="278">
        <v>50.76</v>
      </c>
    </row>
    <row r="48" spans="1:5" s="30" customFormat="1" ht="15.75" customHeight="1" x14ac:dyDescent="0.25">
      <c r="A48" s="322" t="s">
        <v>23</v>
      </c>
      <c r="B48" s="323"/>
      <c r="C48" s="323"/>
      <c r="D48" s="71">
        <f>SUM(D43:D47)</f>
        <v>677</v>
      </c>
      <c r="E48" s="72">
        <f>SUM(E43:E47)</f>
        <v>816.72</v>
      </c>
    </row>
    <row r="49" spans="1:5" s="30" customFormat="1" ht="15.75" customHeight="1" x14ac:dyDescent="0.25">
      <c r="A49" s="317" t="s">
        <v>210</v>
      </c>
      <c r="B49" s="318"/>
      <c r="C49" s="318"/>
      <c r="D49" s="318"/>
      <c r="E49" s="377"/>
    </row>
    <row r="50" spans="1:5" s="30" customFormat="1" ht="15.75" customHeight="1" x14ac:dyDescent="0.25">
      <c r="A50" s="272" t="s">
        <v>136</v>
      </c>
      <c r="B50" s="203" t="s">
        <v>138</v>
      </c>
      <c r="C50" s="267"/>
      <c r="D50" s="153">
        <f>D29</f>
        <v>848.98</v>
      </c>
      <c r="E50" s="154">
        <f>E29</f>
        <v>848.98</v>
      </c>
    </row>
    <row r="51" spans="1:5" s="30" customFormat="1" ht="15.75" customHeight="1" x14ac:dyDescent="0.25">
      <c r="A51" s="272" t="s">
        <v>201</v>
      </c>
      <c r="B51" s="203" t="s">
        <v>139</v>
      </c>
      <c r="C51" s="267"/>
      <c r="D51" s="153">
        <f>D40</f>
        <v>1919.53</v>
      </c>
      <c r="E51" s="154">
        <f>E40</f>
        <v>1919.53</v>
      </c>
    </row>
    <row r="52" spans="1:5" s="30" customFormat="1" ht="15.75" customHeight="1" x14ac:dyDescent="0.25">
      <c r="A52" s="272" t="s">
        <v>202</v>
      </c>
      <c r="B52" s="203" t="s">
        <v>140</v>
      </c>
      <c r="C52" s="267"/>
      <c r="D52" s="153">
        <f>D48</f>
        <v>677</v>
      </c>
      <c r="E52" s="154">
        <f>E48</f>
        <v>816.72</v>
      </c>
    </row>
    <row r="53" spans="1:5" s="30" customFormat="1" ht="15.75" customHeight="1" x14ac:dyDescent="0.25">
      <c r="A53" s="313" t="s">
        <v>146</v>
      </c>
      <c r="B53" s="314"/>
      <c r="C53" s="314"/>
      <c r="D53" s="216">
        <f>SUM(D50:D52)</f>
        <v>3445.51</v>
      </c>
      <c r="E53" s="217">
        <f>SUM(E50:E52)</f>
        <v>3585.23</v>
      </c>
    </row>
    <row r="54" spans="1:5" s="30" customFormat="1" ht="15.75" customHeight="1" x14ac:dyDescent="0.25">
      <c r="A54" s="329" t="s">
        <v>155</v>
      </c>
      <c r="B54" s="330"/>
      <c r="C54" s="330"/>
      <c r="D54" s="330"/>
      <c r="E54" s="376"/>
    </row>
    <row r="55" spans="1:5" s="30" customFormat="1" ht="15.75" customHeight="1" x14ac:dyDescent="0.25">
      <c r="A55" s="266" t="s">
        <v>192</v>
      </c>
      <c r="B55" s="309" t="s">
        <v>32</v>
      </c>
      <c r="C55" s="310"/>
      <c r="D55" s="169" t="s">
        <v>10</v>
      </c>
      <c r="E55" s="170" t="s">
        <v>10</v>
      </c>
    </row>
    <row r="56" spans="1:5" s="30" customFormat="1" ht="15.75" customHeight="1" x14ac:dyDescent="0.25">
      <c r="A56" s="171" t="s">
        <v>0</v>
      </c>
      <c r="B56" s="172" t="s">
        <v>33</v>
      </c>
      <c r="C56" s="173">
        <v>4.5999999999999999E-3</v>
      </c>
      <c r="D56" s="214">
        <f>D$24*C56</f>
        <v>20.09</v>
      </c>
      <c r="E56" s="215">
        <f>E$24*C56</f>
        <v>20.09</v>
      </c>
    </row>
    <row r="57" spans="1:5" s="30" customFormat="1" ht="15.75" customHeight="1" x14ac:dyDescent="0.25">
      <c r="A57" s="171" t="s">
        <v>2</v>
      </c>
      <c r="B57" s="172" t="s">
        <v>34</v>
      </c>
      <c r="C57" s="173">
        <v>4.0000000000000002E-4</v>
      </c>
      <c r="D57" s="214">
        <f>D$24*C57</f>
        <v>1.75</v>
      </c>
      <c r="E57" s="215">
        <f>E$24*C57</f>
        <v>1.75</v>
      </c>
    </row>
    <row r="58" spans="1:5" s="30" customFormat="1" ht="15.75" customHeight="1" x14ac:dyDescent="0.25">
      <c r="A58" s="171" t="s">
        <v>3</v>
      </c>
      <c r="B58" s="239" t="s">
        <v>35</v>
      </c>
      <c r="C58" s="173">
        <v>1.9400000000000001E-2</v>
      </c>
      <c r="D58" s="214">
        <f>D$24*C58</f>
        <v>84.72</v>
      </c>
      <c r="E58" s="215">
        <f>E$24*C58</f>
        <v>84.72</v>
      </c>
    </row>
    <row r="59" spans="1:5" s="30" customFormat="1" ht="30.75" customHeight="1" x14ac:dyDescent="0.25">
      <c r="A59" s="171" t="s">
        <v>5</v>
      </c>
      <c r="B59" s="172" t="s">
        <v>309</v>
      </c>
      <c r="C59" s="173">
        <v>7.7000000000000002E-3</v>
      </c>
      <c r="D59" s="214">
        <f>D$24*C59</f>
        <v>33.630000000000003</v>
      </c>
      <c r="E59" s="215">
        <f>E$24*C59</f>
        <v>33.630000000000003</v>
      </c>
    </row>
    <row r="60" spans="1:5" s="30" customFormat="1" ht="15.75" customHeight="1" x14ac:dyDescent="0.25">
      <c r="A60" s="171" t="s">
        <v>20</v>
      </c>
      <c r="B60" s="172" t="s">
        <v>142</v>
      </c>
      <c r="C60" s="173">
        <v>0.04</v>
      </c>
      <c r="D60" s="214">
        <f>D$24*C60</f>
        <v>174.69</v>
      </c>
      <c r="E60" s="215">
        <f>E$24*C60</f>
        <v>174.69</v>
      </c>
    </row>
    <row r="61" spans="1:5" s="30" customFormat="1" ht="15.75" customHeight="1" x14ac:dyDescent="0.25">
      <c r="A61" s="313" t="s">
        <v>147</v>
      </c>
      <c r="B61" s="314"/>
      <c r="C61" s="274">
        <f>SUM(C56:C60)</f>
        <v>7.2099999999999997E-2</v>
      </c>
      <c r="D61" s="216">
        <f>SUM(D56:D60)</f>
        <v>314.88</v>
      </c>
      <c r="E61" s="217">
        <f>SUM(E56:E60)</f>
        <v>314.88</v>
      </c>
    </row>
    <row r="62" spans="1:5" s="30" customFormat="1" x14ac:dyDescent="0.25">
      <c r="A62" s="329" t="s">
        <v>156</v>
      </c>
      <c r="B62" s="330"/>
      <c r="C62" s="330"/>
      <c r="D62" s="330"/>
      <c r="E62" s="376"/>
    </row>
    <row r="63" spans="1:5" s="30" customFormat="1" x14ac:dyDescent="0.25">
      <c r="A63" s="266" t="s">
        <v>191</v>
      </c>
      <c r="B63" s="347" t="s">
        <v>190</v>
      </c>
      <c r="C63" s="347"/>
      <c r="D63" s="169" t="s">
        <v>10</v>
      </c>
      <c r="E63" s="170" t="s">
        <v>10</v>
      </c>
    </row>
    <row r="64" spans="1:5" s="30" customFormat="1" x14ac:dyDescent="0.25">
      <c r="A64" s="171" t="s">
        <v>0</v>
      </c>
      <c r="B64" s="172" t="s">
        <v>184</v>
      </c>
      <c r="C64" s="173">
        <f>C28/12</f>
        <v>9.2999999999999992E-3</v>
      </c>
      <c r="D64" s="214">
        <f t="shared" ref="D64:D70" si="2">(D$24+D$53+D$61+D$85)*C64</f>
        <v>75.900000000000006</v>
      </c>
      <c r="E64" s="215">
        <f t="shared" ref="E64:E70" si="3">(E$24+E$53+E$61+E$85)*C64</f>
        <v>77.2</v>
      </c>
    </row>
    <row r="65" spans="1:5" s="30" customFormat="1" x14ac:dyDescent="0.25">
      <c r="A65" s="171" t="s">
        <v>2</v>
      </c>
      <c r="B65" s="172" t="s">
        <v>185</v>
      </c>
      <c r="C65" s="173">
        <v>1.3899999999999999E-2</v>
      </c>
      <c r="D65" s="214">
        <f t="shared" si="2"/>
        <v>113.44</v>
      </c>
      <c r="E65" s="215">
        <f t="shared" si="3"/>
        <v>115.39</v>
      </c>
    </row>
    <row r="66" spans="1:5" s="30" customFormat="1" x14ac:dyDescent="0.25">
      <c r="A66" s="171" t="s">
        <v>3</v>
      </c>
      <c r="B66" s="172" t="s">
        <v>188</v>
      </c>
      <c r="C66" s="173">
        <v>1.2999999999999999E-3</v>
      </c>
      <c r="D66" s="214">
        <f t="shared" si="2"/>
        <v>10.61</v>
      </c>
      <c r="E66" s="215">
        <f t="shared" si="3"/>
        <v>10.79</v>
      </c>
    </row>
    <row r="67" spans="1:5" s="30" customFormat="1" x14ac:dyDescent="0.25">
      <c r="A67" s="171" t="s">
        <v>5</v>
      </c>
      <c r="B67" s="172" t="s">
        <v>186</v>
      </c>
      <c r="C67" s="173">
        <v>2.0000000000000001E-4</v>
      </c>
      <c r="D67" s="214">
        <f t="shared" si="2"/>
        <v>1.63</v>
      </c>
      <c r="E67" s="215">
        <f t="shared" si="3"/>
        <v>1.66</v>
      </c>
    </row>
    <row r="68" spans="1:5" s="30" customFormat="1" x14ac:dyDescent="0.25">
      <c r="A68" s="171" t="s">
        <v>20</v>
      </c>
      <c r="B68" s="172" t="s">
        <v>297</v>
      </c>
      <c r="C68" s="173">
        <v>2.8E-3</v>
      </c>
      <c r="D68" s="214">
        <f t="shared" si="2"/>
        <v>22.85</v>
      </c>
      <c r="E68" s="215">
        <f t="shared" si="3"/>
        <v>23.24</v>
      </c>
    </row>
    <row r="69" spans="1:5" s="30" customFormat="1" x14ac:dyDescent="0.25">
      <c r="A69" s="171" t="s">
        <v>21</v>
      </c>
      <c r="B69" s="172" t="s">
        <v>187</v>
      </c>
      <c r="C69" s="173">
        <v>2.9999999999999997E-4</v>
      </c>
      <c r="D69" s="214">
        <f t="shared" si="2"/>
        <v>2.4500000000000002</v>
      </c>
      <c r="E69" s="215">
        <f t="shared" si="3"/>
        <v>2.4900000000000002</v>
      </c>
    </row>
    <row r="70" spans="1:5" s="30" customFormat="1" ht="15.75" customHeight="1" x14ac:dyDescent="0.25">
      <c r="A70" s="171" t="s">
        <v>22</v>
      </c>
      <c r="B70" s="265" t="s">
        <v>189</v>
      </c>
      <c r="C70" s="173">
        <v>0</v>
      </c>
      <c r="D70" s="214">
        <f t="shared" si="2"/>
        <v>0</v>
      </c>
      <c r="E70" s="215">
        <f t="shared" si="3"/>
        <v>0</v>
      </c>
    </row>
    <row r="71" spans="1:5" s="30" customFormat="1" x14ac:dyDescent="0.25">
      <c r="A71" s="322" t="s">
        <v>29</v>
      </c>
      <c r="B71" s="323"/>
      <c r="C71" s="184">
        <f>SUM(C64:C70)</f>
        <v>2.7799999999999998E-2</v>
      </c>
      <c r="D71" s="71">
        <f>SUM(D64:D70)</f>
        <v>226.88</v>
      </c>
      <c r="E71" s="72">
        <f>SUM(E64:E70)</f>
        <v>230.77</v>
      </c>
    </row>
    <row r="72" spans="1:5" s="30" customFormat="1" x14ac:dyDescent="0.25">
      <c r="A72" s="272"/>
      <c r="B72" s="267"/>
      <c r="C72" s="205"/>
      <c r="D72" s="205"/>
      <c r="E72" s="196"/>
    </row>
    <row r="73" spans="1:5" s="30" customFormat="1" x14ac:dyDescent="0.25">
      <c r="A73" s="272"/>
      <c r="B73" s="336" t="s">
        <v>193</v>
      </c>
      <c r="C73" s="352"/>
      <c r="D73" s="169" t="s">
        <v>10</v>
      </c>
      <c r="E73" s="170" t="s">
        <v>10</v>
      </c>
    </row>
    <row r="74" spans="1:5" s="30" customFormat="1" x14ac:dyDescent="0.25">
      <c r="A74" s="171" t="s">
        <v>0</v>
      </c>
      <c r="B74" s="172" t="s">
        <v>194</v>
      </c>
      <c r="C74" s="173">
        <v>0</v>
      </c>
      <c r="D74" s="214">
        <f>(D$24+D$53+D$61)*C74</f>
        <v>0</v>
      </c>
      <c r="E74" s="215">
        <f>(E$24+E$53+E$61)*C74</f>
        <v>0</v>
      </c>
    </row>
    <row r="75" spans="1:5" s="30" customFormat="1" ht="15.75" customHeight="1" x14ac:dyDescent="0.25">
      <c r="A75" s="322" t="s">
        <v>27</v>
      </c>
      <c r="B75" s="323"/>
      <c r="C75" s="209">
        <f>C74</f>
        <v>0</v>
      </c>
      <c r="D75" s="71">
        <f>D74</f>
        <v>0</v>
      </c>
      <c r="E75" s="72">
        <f>E74</f>
        <v>0</v>
      </c>
    </row>
    <row r="76" spans="1:5" s="30" customFormat="1" ht="15.75" customHeight="1" x14ac:dyDescent="0.25">
      <c r="A76" s="317" t="s">
        <v>30</v>
      </c>
      <c r="B76" s="318"/>
      <c r="C76" s="318"/>
      <c r="D76" s="318"/>
      <c r="E76" s="377"/>
    </row>
    <row r="77" spans="1:5" s="30" customFormat="1" ht="15.75" customHeight="1" x14ac:dyDescent="0.25">
      <c r="A77" s="372" t="s">
        <v>195</v>
      </c>
      <c r="B77" s="373"/>
      <c r="C77" s="373"/>
      <c r="D77" s="373"/>
      <c r="E77" s="378"/>
    </row>
    <row r="78" spans="1:5" s="30" customFormat="1" ht="15.75" customHeight="1" x14ac:dyDescent="0.25">
      <c r="A78" s="266">
        <v>4</v>
      </c>
      <c r="B78" s="309" t="s">
        <v>31</v>
      </c>
      <c r="C78" s="310"/>
      <c r="D78" s="169" t="s">
        <v>10</v>
      </c>
      <c r="E78" s="170" t="s">
        <v>10</v>
      </c>
    </row>
    <row r="79" spans="1:5" s="30" customFormat="1" ht="15.75" customHeight="1" x14ac:dyDescent="0.25">
      <c r="A79" s="171" t="s">
        <v>191</v>
      </c>
      <c r="B79" s="265" t="s">
        <v>190</v>
      </c>
      <c r="C79" s="173">
        <f>C71</f>
        <v>2.7799999999999998E-2</v>
      </c>
      <c r="D79" s="214">
        <f>D71</f>
        <v>226.88</v>
      </c>
      <c r="E79" s="215">
        <f>E71</f>
        <v>230.77</v>
      </c>
    </row>
    <row r="80" spans="1:5" s="30" customFormat="1" ht="15.75" customHeight="1" x14ac:dyDescent="0.25">
      <c r="A80" s="171" t="s">
        <v>207</v>
      </c>
      <c r="B80" s="265" t="s">
        <v>193</v>
      </c>
      <c r="C80" s="173">
        <v>0</v>
      </c>
      <c r="D80" s="214">
        <f>(D$24+D$53+D$61)*C80</f>
        <v>0</v>
      </c>
      <c r="E80" s="215">
        <f>(E$24+E$53+E$61)*C80</f>
        <v>0</v>
      </c>
    </row>
    <row r="81" spans="1:5" s="30" customFormat="1" ht="15.75" customHeight="1" x14ac:dyDescent="0.25">
      <c r="A81" s="322" t="s">
        <v>27</v>
      </c>
      <c r="B81" s="323"/>
      <c r="C81" s="176">
        <f>SUM(C79:C80)</f>
        <v>2.7799999999999998E-2</v>
      </c>
      <c r="D81" s="71">
        <f>SUM(D79:D80)</f>
        <v>226.88</v>
      </c>
      <c r="E81" s="72">
        <f>SUM(E79:E80)</f>
        <v>230.77</v>
      </c>
    </row>
    <row r="82" spans="1:5" s="30" customFormat="1" ht="15.75" customHeight="1" x14ac:dyDescent="0.25">
      <c r="A82" s="313" t="s">
        <v>148</v>
      </c>
      <c r="B82" s="314"/>
      <c r="C82" s="314"/>
      <c r="D82" s="216">
        <f>SUM(D75+D81)</f>
        <v>226.88</v>
      </c>
      <c r="E82" s="217">
        <f>SUM(E75+E81)</f>
        <v>230.77</v>
      </c>
    </row>
    <row r="83" spans="1:5" s="30" customFormat="1" ht="15.75" customHeight="1" x14ac:dyDescent="0.25">
      <c r="A83" s="329" t="s">
        <v>157</v>
      </c>
      <c r="B83" s="330"/>
      <c r="C83" s="330"/>
      <c r="D83" s="330"/>
      <c r="E83" s="376"/>
    </row>
    <row r="84" spans="1:5" s="30" customFormat="1" ht="15.75" customHeight="1" x14ac:dyDescent="0.25">
      <c r="A84" s="266">
        <v>5</v>
      </c>
      <c r="B84" s="309" t="s">
        <v>24</v>
      </c>
      <c r="C84" s="310"/>
      <c r="D84" s="169" t="s">
        <v>10</v>
      </c>
      <c r="E84" s="170" t="s">
        <v>10</v>
      </c>
    </row>
    <row r="85" spans="1:5" s="30" customFormat="1" ht="15.75" customHeight="1" x14ac:dyDescent="0.25">
      <c r="A85" s="195" t="s">
        <v>0</v>
      </c>
      <c r="B85" s="315" t="s">
        <v>208</v>
      </c>
      <c r="C85" s="315"/>
      <c r="D85" s="214">
        <f>Uniformes!H7</f>
        <v>33.93</v>
      </c>
      <c r="E85" s="215">
        <f>Uniformes!H7</f>
        <v>33.93</v>
      </c>
    </row>
    <row r="86" spans="1:5" s="30" customFormat="1" ht="15.75" customHeight="1" x14ac:dyDescent="0.25">
      <c r="A86" s="195" t="s">
        <v>2</v>
      </c>
      <c r="B86" s="315" t="s">
        <v>209</v>
      </c>
      <c r="C86" s="315"/>
      <c r="D86" s="214">
        <f>Materiais!H18</f>
        <v>58.98</v>
      </c>
      <c r="E86" s="215">
        <f>Materiais!H19</f>
        <v>58.98</v>
      </c>
    </row>
    <row r="87" spans="1:5" s="30" customFormat="1" ht="15.75" customHeight="1" x14ac:dyDescent="0.25">
      <c r="A87" s="195" t="s">
        <v>3</v>
      </c>
      <c r="B87" s="315" t="s">
        <v>179</v>
      </c>
      <c r="C87" s="315"/>
      <c r="D87" s="214">
        <f>Equipamentos!H19</f>
        <v>1107.97</v>
      </c>
      <c r="E87" s="215">
        <f>Equipamentos!H20</f>
        <v>1107.97</v>
      </c>
    </row>
    <row r="88" spans="1:5" s="30" customFormat="1" ht="15.75" customHeight="1" x14ac:dyDescent="0.25">
      <c r="A88" s="195" t="s">
        <v>5</v>
      </c>
      <c r="B88" s="315" t="s">
        <v>132</v>
      </c>
      <c r="C88" s="315"/>
      <c r="D88" s="214">
        <v>0</v>
      </c>
      <c r="E88" s="215">
        <v>0</v>
      </c>
    </row>
    <row r="89" spans="1:5" s="30" customFormat="1" ht="15.75" customHeight="1" x14ac:dyDescent="0.25">
      <c r="A89" s="313" t="s">
        <v>149</v>
      </c>
      <c r="B89" s="314"/>
      <c r="C89" s="314"/>
      <c r="D89" s="216">
        <f>SUM(D85:D88)</f>
        <v>1200.8800000000001</v>
      </c>
      <c r="E89" s="217">
        <f>SUM(E85:E88)</f>
        <v>1200.8800000000001</v>
      </c>
    </row>
    <row r="90" spans="1:5" s="30" customFormat="1" ht="30" customHeight="1" x14ac:dyDescent="0.25">
      <c r="A90" s="311" t="s">
        <v>211</v>
      </c>
      <c r="B90" s="312"/>
      <c r="C90" s="312"/>
      <c r="D90" s="241">
        <f>D89+D82+D61+D53+D24</f>
        <v>9555.32</v>
      </c>
      <c r="E90" s="242">
        <f>E89+E82+E61+E53+E24</f>
        <v>9698.93</v>
      </c>
    </row>
    <row r="91" spans="1:5" s="30" customFormat="1" ht="19.5" customHeight="1" x14ac:dyDescent="0.25">
      <c r="A91" s="329" t="s">
        <v>158</v>
      </c>
      <c r="B91" s="330"/>
      <c r="C91" s="330"/>
      <c r="D91" s="330"/>
      <c r="E91" s="376"/>
    </row>
    <row r="92" spans="1:5" s="30" customFormat="1" x14ac:dyDescent="0.25">
      <c r="A92" s="266">
        <v>6</v>
      </c>
      <c r="B92" s="309" t="s">
        <v>38</v>
      </c>
      <c r="C92" s="316"/>
      <c r="D92" s="169" t="s">
        <v>10</v>
      </c>
      <c r="E92" s="170" t="s">
        <v>10</v>
      </c>
    </row>
    <row r="93" spans="1:5" s="30" customFormat="1" x14ac:dyDescent="0.25">
      <c r="A93" s="171" t="s">
        <v>0</v>
      </c>
      <c r="B93" s="172" t="s">
        <v>39</v>
      </c>
      <c r="C93" s="220">
        <v>0.05</v>
      </c>
      <c r="D93" s="214">
        <f>+D90*C93</f>
        <v>477.77</v>
      </c>
      <c r="E93" s="215">
        <f>+E90*C93</f>
        <v>484.95</v>
      </c>
    </row>
    <row r="94" spans="1:5" s="30" customFormat="1" x14ac:dyDescent="0.25">
      <c r="A94" s="171" t="s">
        <v>2</v>
      </c>
      <c r="B94" s="172" t="s">
        <v>40</v>
      </c>
      <c r="C94" s="220">
        <v>0.1</v>
      </c>
      <c r="D94" s="214">
        <f>C94*(+D90+D93)</f>
        <v>1003.31</v>
      </c>
      <c r="E94" s="215">
        <f>C94*(+E90+E93)</f>
        <v>1018.39</v>
      </c>
    </row>
    <row r="95" spans="1:5" s="30" customFormat="1" ht="30" x14ac:dyDescent="0.25">
      <c r="A95" s="171"/>
      <c r="B95" s="172" t="s">
        <v>47</v>
      </c>
      <c r="C95" s="173">
        <f>1-C102</f>
        <v>0.85750000000000004</v>
      </c>
      <c r="D95" s="214">
        <f>+D90+D93+D94</f>
        <v>11036.4</v>
      </c>
      <c r="E95" s="215">
        <f>+E90+E93+E94</f>
        <v>11202.27</v>
      </c>
    </row>
    <row r="96" spans="1:5" s="30" customFormat="1" x14ac:dyDescent="0.25">
      <c r="A96" s="171"/>
      <c r="B96" s="265"/>
      <c r="C96" s="40"/>
      <c r="D96" s="243">
        <f>+D95/C95</f>
        <v>12870.44</v>
      </c>
      <c r="E96" s="244">
        <f>+E95/C95</f>
        <v>13063.87</v>
      </c>
    </row>
    <row r="97" spans="1:5" s="30" customFormat="1" x14ac:dyDescent="0.25">
      <c r="A97" s="171" t="s">
        <v>3</v>
      </c>
      <c r="B97" s="265" t="s">
        <v>41</v>
      </c>
      <c r="C97" s="221">
        <f>C99+C100+C101</f>
        <v>0.14249999999999999</v>
      </c>
      <c r="D97" s="243"/>
      <c r="E97" s="244"/>
    </row>
    <row r="98" spans="1:5" s="30" customFormat="1" x14ac:dyDescent="0.25">
      <c r="A98" s="171" t="s">
        <v>289</v>
      </c>
      <c r="B98" s="265" t="s">
        <v>285</v>
      </c>
      <c r="C98" s="250">
        <f>C99+C100</f>
        <v>9.2499999999999999E-2</v>
      </c>
      <c r="D98" s="214"/>
      <c r="E98" s="215"/>
    </row>
    <row r="99" spans="1:5" s="30" customFormat="1" x14ac:dyDescent="0.25">
      <c r="A99" s="171" t="s">
        <v>290</v>
      </c>
      <c r="B99" s="172" t="s">
        <v>286</v>
      </c>
      <c r="C99" s="173">
        <v>1.6500000000000001E-2</v>
      </c>
      <c r="D99" s="214">
        <f>+D96*C99</f>
        <v>212.36</v>
      </c>
      <c r="E99" s="215">
        <f>+E96*C99</f>
        <v>215.55</v>
      </c>
    </row>
    <row r="100" spans="1:5" s="30" customFormat="1" x14ac:dyDescent="0.25">
      <c r="A100" s="171" t="s">
        <v>291</v>
      </c>
      <c r="B100" s="172" t="s">
        <v>287</v>
      </c>
      <c r="C100" s="173">
        <v>7.5999999999999998E-2</v>
      </c>
      <c r="D100" s="214">
        <f>+D96*C100</f>
        <v>978.15</v>
      </c>
      <c r="E100" s="215">
        <f>+E96*C100</f>
        <v>992.85</v>
      </c>
    </row>
    <row r="101" spans="1:5" s="30" customFormat="1" x14ac:dyDescent="0.25">
      <c r="A101" s="171" t="s">
        <v>292</v>
      </c>
      <c r="B101" s="172" t="s">
        <v>288</v>
      </c>
      <c r="C101" s="173">
        <v>0.05</v>
      </c>
      <c r="D101" s="214">
        <f>+D96*C101</f>
        <v>643.52</v>
      </c>
      <c r="E101" s="215">
        <f>+E96*C101</f>
        <v>653.19000000000005</v>
      </c>
    </row>
    <row r="102" spans="1:5" s="30" customFormat="1" x14ac:dyDescent="0.25">
      <c r="A102" s="266"/>
      <c r="B102" s="224" t="s">
        <v>42</v>
      </c>
      <c r="C102" s="225">
        <f>C97</f>
        <v>0.14249999999999999</v>
      </c>
      <c r="D102" s="214">
        <f>SUM(D99:D101)</f>
        <v>1834.03</v>
      </c>
      <c r="E102" s="215">
        <f>SUM(E99:E101)</f>
        <v>1861.59</v>
      </c>
    </row>
    <row r="103" spans="1:5" s="30" customFormat="1" ht="15.75" customHeight="1" x14ac:dyDescent="0.25">
      <c r="A103" s="322" t="s">
        <v>43</v>
      </c>
      <c r="B103" s="323"/>
      <c r="C103" s="323"/>
      <c r="D103" s="71">
        <f>+D93+D94+D102</f>
        <v>3315.11</v>
      </c>
      <c r="E103" s="72">
        <f>+E93+E94+E102</f>
        <v>3364.93</v>
      </c>
    </row>
    <row r="104" spans="1:5" s="30" customFormat="1" ht="15.75" customHeight="1" x14ac:dyDescent="0.25">
      <c r="A104" s="374" t="s">
        <v>44</v>
      </c>
      <c r="B104" s="375"/>
      <c r="C104" s="375"/>
      <c r="D104" s="245" t="s">
        <v>10</v>
      </c>
      <c r="E104" s="246" t="s">
        <v>10</v>
      </c>
    </row>
    <row r="105" spans="1:5" s="30" customFormat="1" x14ac:dyDescent="0.25">
      <c r="A105" s="171" t="s">
        <v>0</v>
      </c>
      <c r="B105" s="326" t="s">
        <v>45</v>
      </c>
      <c r="C105" s="326"/>
      <c r="D105" s="214">
        <f>+D24</f>
        <v>4367.17</v>
      </c>
      <c r="E105" s="215">
        <f>+E24</f>
        <v>4367.17</v>
      </c>
    </row>
    <row r="106" spans="1:5" s="30" customFormat="1" x14ac:dyDescent="0.25">
      <c r="A106" s="171" t="s">
        <v>2</v>
      </c>
      <c r="B106" s="326" t="s">
        <v>152</v>
      </c>
      <c r="C106" s="326"/>
      <c r="D106" s="214">
        <f>+D53</f>
        <v>3445.51</v>
      </c>
      <c r="E106" s="215">
        <f>+E53</f>
        <v>3585.23</v>
      </c>
    </row>
    <row r="107" spans="1:5" s="30" customFormat="1" x14ac:dyDescent="0.25">
      <c r="A107" s="171" t="s">
        <v>3</v>
      </c>
      <c r="B107" s="326" t="s">
        <v>150</v>
      </c>
      <c r="C107" s="326"/>
      <c r="D107" s="214">
        <f>D61</f>
        <v>314.88</v>
      </c>
      <c r="E107" s="215">
        <f>E61</f>
        <v>314.88</v>
      </c>
    </row>
    <row r="108" spans="1:5" s="30" customFormat="1" x14ac:dyDescent="0.25">
      <c r="A108" s="171" t="s">
        <v>5</v>
      </c>
      <c r="B108" s="326" t="s">
        <v>143</v>
      </c>
      <c r="C108" s="326"/>
      <c r="D108" s="214">
        <f>D82</f>
        <v>226.88</v>
      </c>
      <c r="E108" s="215">
        <f>E82</f>
        <v>230.77</v>
      </c>
    </row>
    <row r="109" spans="1:5" s="30" customFormat="1" x14ac:dyDescent="0.25">
      <c r="A109" s="171" t="s">
        <v>20</v>
      </c>
      <c r="B109" s="326" t="s">
        <v>151</v>
      </c>
      <c r="C109" s="326"/>
      <c r="D109" s="214">
        <f>D89</f>
        <v>1200.8800000000001</v>
      </c>
      <c r="E109" s="215">
        <f>E89</f>
        <v>1200.8800000000001</v>
      </c>
    </row>
    <row r="110" spans="1:5" s="30" customFormat="1" ht="15.75" customHeight="1" x14ac:dyDescent="0.25">
      <c r="A110" s="327" t="s">
        <v>295</v>
      </c>
      <c r="B110" s="328"/>
      <c r="C110" s="328"/>
      <c r="D110" s="226">
        <f>SUM(D105:D109)</f>
        <v>9555.32</v>
      </c>
      <c r="E110" s="227">
        <f>SUM(E105:E109)</f>
        <v>9698.93</v>
      </c>
    </row>
    <row r="111" spans="1:5" s="30" customFormat="1" x14ac:dyDescent="0.25">
      <c r="A111" s="171" t="s">
        <v>21</v>
      </c>
      <c r="B111" s="326" t="s">
        <v>154</v>
      </c>
      <c r="C111" s="326"/>
      <c r="D111" s="214">
        <f>+D103</f>
        <v>3315.11</v>
      </c>
      <c r="E111" s="215">
        <f>+E103</f>
        <v>3364.93</v>
      </c>
    </row>
    <row r="112" spans="1:5" s="30" customFormat="1" ht="16.5" customHeight="1" thickBot="1" x14ac:dyDescent="0.3">
      <c r="A112" s="319" t="s">
        <v>46</v>
      </c>
      <c r="B112" s="320"/>
      <c r="C112" s="320"/>
      <c r="D112" s="247">
        <f>+D110+D111</f>
        <v>12870.43</v>
      </c>
      <c r="E112" s="248">
        <f>+E110+E111</f>
        <v>13063.86</v>
      </c>
    </row>
    <row r="113" spans="2:5" x14ac:dyDescent="0.25">
      <c r="C113" s="31"/>
      <c r="D113" s="31"/>
      <c r="E113" s="33"/>
    </row>
    <row r="114" spans="2:5" x14ac:dyDescent="0.25">
      <c r="B114" s="28"/>
      <c r="C114" s="31"/>
      <c r="D114" s="31"/>
      <c r="E114" s="34"/>
    </row>
    <row r="115" spans="2:5" x14ac:dyDescent="0.25">
      <c r="B115" s="28"/>
      <c r="C115" s="31"/>
      <c r="D115" s="31"/>
      <c r="E115" s="34" t="s">
        <v>126</v>
      </c>
    </row>
    <row r="116" spans="2:5" x14ac:dyDescent="0.25">
      <c r="B116" s="28"/>
      <c r="C116" s="321"/>
      <c r="D116" s="321"/>
      <c r="E116" s="321"/>
    </row>
    <row r="117" spans="2:5" x14ac:dyDescent="0.25">
      <c r="B117" s="28"/>
      <c r="C117" s="31"/>
      <c r="D117" s="31"/>
      <c r="E117" s="35"/>
    </row>
    <row r="119" spans="2:5" x14ac:dyDescent="0.25">
      <c r="B119" s="36"/>
    </row>
    <row r="124" spans="2:5" x14ac:dyDescent="0.25">
      <c r="B124" s="28"/>
    </row>
  </sheetData>
  <mergeCells count="62">
    <mergeCell ref="C116:E116"/>
    <mergeCell ref="B105:C105"/>
    <mergeCell ref="B106:C106"/>
    <mergeCell ref="B107:C107"/>
    <mergeCell ref="B108:C108"/>
    <mergeCell ref="B109:C109"/>
    <mergeCell ref="A110:C110"/>
    <mergeCell ref="A62:E62"/>
    <mergeCell ref="B63:C63"/>
    <mergeCell ref="A71:B71"/>
    <mergeCell ref="B111:C111"/>
    <mergeCell ref="A112:C112"/>
    <mergeCell ref="A76:E76"/>
    <mergeCell ref="A77:E77"/>
    <mergeCell ref="B78:C78"/>
    <mergeCell ref="A75:B75"/>
    <mergeCell ref="A61:B61"/>
    <mergeCell ref="A104:C104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A83:E83"/>
    <mergeCell ref="A81:B81"/>
    <mergeCell ref="A82:C82"/>
    <mergeCell ref="B73:C73"/>
    <mergeCell ref="B55:C55"/>
    <mergeCell ref="A25:E25"/>
    <mergeCell ref="B26:C26"/>
    <mergeCell ref="A29:B29"/>
    <mergeCell ref="A30:E30"/>
    <mergeCell ref="B31:C31"/>
    <mergeCell ref="A40:B40"/>
    <mergeCell ref="A41:E41"/>
    <mergeCell ref="A48:C48"/>
    <mergeCell ref="A49:E49"/>
    <mergeCell ref="A53:C53"/>
    <mergeCell ref="A54:E54"/>
    <mergeCell ref="A24:C24"/>
    <mergeCell ref="C6:E6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C5:E5"/>
    <mergeCell ref="A1:E1"/>
    <mergeCell ref="A2:E2"/>
    <mergeCell ref="C3:E3"/>
    <mergeCell ref="C4:E4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view="pageBreakPreview" topLeftCell="A34" zoomScaleNormal="115" zoomScaleSheetLayoutView="100" workbookViewId="0">
      <selection activeCell="F6" sqref="F6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361"/>
      <c r="B1" s="362"/>
      <c r="C1" s="362"/>
      <c r="D1" s="362"/>
      <c r="E1" s="363"/>
    </row>
    <row r="2" spans="1:5" s="38" customFormat="1" ht="16.5" customHeight="1" x14ac:dyDescent="0.25">
      <c r="A2" s="333" t="s">
        <v>127</v>
      </c>
      <c r="B2" s="334"/>
      <c r="C2" s="334"/>
      <c r="D2" s="334"/>
      <c r="E2" s="335"/>
    </row>
    <row r="3" spans="1:5" s="38" customFormat="1" ht="15.75" customHeight="1" x14ac:dyDescent="0.25">
      <c r="A3" s="83" t="s">
        <v>0</v>
      </c>
      <c r="B3" s="145" t="s">
        <v>1</v>
      </c>
      <c r="C3" s="364">
        <v>2025</v>
      </c>
      <c r="D3" s="364"/>
      <c r="E3" s="365"/>
    </row>
    <row r="4" spans="1:5" s="38" customFormat="1" ht="75" customHeight="1" x14ac:dyDescent="0.25">
      <c r="A4" s="83" t="s">
        <v>2</v>
      </c>
      <c r="B4" s="145" t="s">
        <v>135</v>
      </c>
      <c r="C4" s="366" t="s">
        <v>248</v>
      </c>
      <c r="D4" s="366"/>
      <c r="E4" s="367"/>
    </row>
    <row r="5" spans="1:5" s="38" customFormat="1" ht="15.75" customHeight="1" x14ac:dyDescent="0.25">
      <c r="A5" s="83" t="s">
        <v>3</v>
      </c>
      <c r="B5" s="145" t="s">
        <v>4</v>
      </c>
      <c r="C5" s="366" t="s">
        <v>256</v>
      </c>
      <c r="D5" s="366"/>
      <c r="E5" s="367"/>
    </row>
    <row r="6" spans="1:5" s="38" customFormat="1" x14ac:dyDescent="0.25">
      <c r="A6" s="83" t="s">
        <v>5</v>
      </c>
      <c r="B6" s="145" t="s">
        <v>299</v>
      </c>
      <c r="C6" s="366">
        <v>12</v>
      </c>
      <c r="D6" s="366"/>
      <c r="E6" s="367"/>
    </row>
    <row r="7" spans="1:5" s="38" customFormat="1" x14ac:dyDescent="0.25">
      <c r="A7" s="344" t="s">
        <v>6</v>
      </c>
      <c r="B7" s="345"/>
      <c r="C7" s="345"/>
      <c r="D7" s="345"/>
      <c r="E7" s="346"/>
    </row>
    <row r="8" spans="1:5" s="38" customFormat="1" x14ac:dyDescent="0.25">
      <c r="A8" s="344" t="s">
        <v>7</v>
      </c>
      <c r="B8" s="345"/>
      <c r="C8" s="345"/>
      <c r="D8" s="345"/>
      <c r="E8" s="346"/>
    </row>
    <row r="9" spans="1:5" s="38" customFormat="1" ht="15.75" customHeight="1" x14ac:dyDescent="0.25">
      <c r="A9" s="344" t="s">
        <v>8</v>
      </c>
      <c r="B9" s="345"/>
      <c r="C9" s="345"/>
      <c r="D9" s="345"/>
      <c r="E9" s="346"/>
    </row>
    <row r="10" spans="1:5" s="38" customFormat="1" ht="30" customHeight="1" x14ac:dyDescent="0.25">
      <c r="A10" s="358" t="s">
        <v>9</v>
      </c>
      <c r="B10" s="331"/>
      <c r="C10" s="331"/>
      <c r="D10" s="331" t="s">
        <v>10</v>
      </c>
      <c r="E10" s="332"/>
    </row>
    <row r="11" spans="1:5" s="38" customFormat="1" ht="60" customHeight="1" x14ac:dyDescent="0.25">
      <c r="A11" s="83">
        <v>1</v>
      </c>
      <c r="B11" s="268" t="s">
        <v>128</v>
      </c>
      <c r="C11" s="337" t="s">
        <v>249</v>
      </c>
      <c r="D11" s="337"/>
      <c r="E11" s="338"/>
    </row>
    <row r="12" spans="1:5" s="38" customFormat="1" ht="30" customHeight="1" x14ac:dyDescent="0.25">
      <c r="A12" s="83">
        <v>2</v>
      </c>
      <c r="B12" s="268" t="s">
        <v>11</v>
      </c>
      <c r="C12" s="359">
        <v>4750</v>
      </c>
      <c r="D12" s="359"/>
      <c r="E12" s="360"/>
    </row>
    <row r="13" spans="1:5" s="38" customFormat="1" ht="15.75" customHeight="1" x14ac:dyDescent="0.25">
      <c r="A13" s="83">
        <v>3</v>
      </c>
      <c r="B13" s="268" t="s">
        <v>12</v>
      </c>
      <c r="C13" s="337" t="s">
        <v>218</v>
      </c>
      <c r="D13" s="337"/>
      <c r="E13" s="338"/>
    </row>
    <row r="14" spans="1:5" s="38" customFormat="1" x14ac:dyDescent="0.25">
      <c r="A14" s="83">
        <v>4</v>
      </c>
      <c r="B14" s="269" t="s">
        <v>13</v>
      </c>
      <c r="C14" s="340">
        <v>2025</v>
      </c>
      <c r="D14" s="340"/>
      <c r="E14" s="341"/>
    </row>
    <row r="15" spans="1:5" s="39" customFormat="1" ht="30" x14ac:dyDescent="0.25">
      <c r="A15" s="329" t="s">
        <v>14</v>
      </c>
      <c r="B15" s="330"/>
      <c r="C15" s="330"/>
      <c r="D15" s="146" t="s">
        <v>252</v>
      </c>
      <c r="E15" s="148" t="s">
        <v>254</v>
      </c>
    </row>
    <row r="16" spans="1:5" s="39" customFormat="1" x14ac:dyDescent="0.25">
      <c r="A16" s="272">
        <v>1</v>
      </c>
      <c r="B16" s="336" t="s">
        <v>15</v>
      </c>
      <c r="C16" s="336"/>
      <c r="D16" s="149" t="s">
        <v>10</v>
      </c>
      <c r="E16" s="150" t="s">
        <v>10</v>
      </c>
    </row>
    <row r="17" spans="1:5" s="38" customFormat="1" ht="15.75" customHeight="1" x14ac:dyDescent="0.25">
      <c r="A17" s="151" t="s">
        <v>0</v>
      </c>
      <c r="B17" s="152" t="s">
        <v>16</v>
      </c>
      <c r="C17" s="269"/>
      <c r="D17" s="112">
        <f>C12</f>
        <v>4750</v>
      </c>
      <c r="E17" s="196">
        <f>C12</f>
        <v>4750</v>
      </c>
    </row>
    <row r="18" spans="1:5" s="38" customFormat="1" ht="15.75" customHeight="1" x14ac:dyDescent="0.25">
      <c r="A18" s="151" t="s">
        <v>2</v>
      </c>
      <c r="B18" s="152" t="s">
        <v>17</v>
      </c>
      <c r="C18" s="155"/>
      <c r="D18" s="192"/>
      <c r="E18" s="232"/>
    </row>
    <row r="19" spans="1:5" s="38" customFormat="1" ht="15.75" customHeight="1" x14ac:dyDescent="0.25">
      <c r="A19" s="151" t="s">
        <v>3</v>
      </c>
      <c r="B19" s="152" t="s">
        <v>18</v>
      </c>
      <c r="C19" s="158">
        <v>1518</v>
      </c>
      <c r="D19" s="192">
        <f>40%*C19</f>
        <v>607.20000000000005</v>
      </c>
      <c r="E19" s="232">
        <f>40%*C19</f>
        <v>607.20000000000005</v>
      </c>
    </row>
    <row r="20" spans="1:5" s="38" customFormat="1" ht="15.75" customHeight="1" x14ac:dyDescent="0.25">
      <c r="A20" s="151" t="s">
        <v>5</v>
      </c>
      <c r="B20" s="152" t="s">
        <v>19</v>
      </c>
      <c r="C20" s="155"/>
      <c r="D20" s="192"/>
      <c r="E20" s="232"/>
    </row>
    <row r="21" spans="1:5" s="38" customFormat="1" ht="15.75" customHeight="1" x14ac:dyDescent="0.25">
      <c r="A21" s="151" t="s">
        <v>20</v>
      </c>
      <c r="B21" s="152" t="s">
        <v>196</v>
      </c>
      <c r="C21" s="155"/>
      <c r="D21" s="192"/>
      <c r="E21" s="232"/>
    </row>
    <row r="22" spans="1:5" s="38" customFormat="1" x14ac:dyDescent="0.25">
      <c r="A22" s="151" t="s">
        <v>21</v>
      </c>
      <c r="B22" s="152" t="s">
        <v>133</v>
      </c>
      <c r="C22" s="161"/>
      <c r="D22" s="192"/>
      <c r="E22" s="232"/>
    </row>
    <row r="23" spans="1:5" s="38" customFormat="1" ht="15.75" customHeight="1" x14ac:dyDescent="0.25">
      <c r="A23" s="151" t="s">
        <v>22</v>
      </c>
      <c r="B23" s="164" t="s">
        <v>134</v>
      </c>
      <c r="C23" s="161"/>
      <c r="D23" s="192"/>
      <c r="E23" s="232"/>
    </row>
    <row r="24" spans="1:5" s="39" customFormat="1" ht="15.75" customHeight="1" x14ac:dyDescent="0.25">
      <c r="A24" s="313" t="s">
        <v>145</v>
      </c>
      <c r="B24" s="314"/>
      <c r="C24" s="314"/>
      <c r="D24" s="216">
        <f>SUM(D17:D23)</f>
        <v>5357.2</v>
      </c>
      <c r="E24" s="217">
        <f>SUM(E17:E23)</f>
        <v>5357.2</v>
      </c>
    </row>
    <row r="25" spans="1:5" s="39" customFormat="1" x14ac:dyDescent="0.25">
      <c r="A25" s="317" t="s">
        <v>48</v>
      </c>
      <c r="B25" s="318"/>
      <c r="C25" s="318"/>
      <c r="D25" s="262"/>
      <c r="E25" s="251"/>
    </row>
    <row r="26" spans="1:5" s="38" customFormat="1" x14ac:dyDescent="0.25">
      <c r="A26" s="266">
        <v>2</v>
      </c>
      <c r="B26" s="309" t="s">
        <v>197</v>
      </c>
      <c r="C26" s="316"/>
      <c r="D26" s="169" t="s">
        <v>10</v>
      </c>
      <c r="E26" s="170" t="s">
        <v>10</v>
      </c>
    </row>
    <row r="27" spans="1:5" s="38" customFormat="1" x14ac:dyDescent="0.25">
      <c r="A27" s="171" t="s">
        <v>0</v>
      </c>
      <c r="B27" s="172" t="s">
        <v>28</v>
      </c>
      <c r="C27" s="173">
        <f>1/12</f>
        <v>8.3299999999999999E-2</v>
      </c>
      <c r="D27" s="214">
        <f>(D24)*C27</f>
        <v>446.25</v>
      </c>
      <c r="E27" s="215">
        <f>(E24)*C27</f>
        <v>446.25</v>
      </c>
    </row>
    <row r="28" spans="1:5" s="38" customFormat="1" x14ac:dyDescent="0.25">
      <c r="A28" s="171" t="s">
        <v>2</v>
      </c>
      <c r="B28" s="172" t="s">
        <v>141</v>
      </c>
      <c r="C28" s="173">
        <v>0.1111</v>
      </c>
      <c r="D28" s="214">
        <f>(D24)*C28</f>
        <v>595.17999999999995</v>
      </c>
      <c r="E28" s="215">
        <f>(E24)*C28</f>
        <v>595.17999999999995</v>
      </c>
    </row>
    <row r="29" spans="1:5" x14ac:dyDescent="0.25">
      <c r="A29" s="322" t="s">
        <v>27</v>
      </c>
      <c r="B29" s="323"/>
      <c r="C29" s="176">
        <f>SUM(C27:C28)</f>
        <v>0.19439999999999999</v>
      </c>
      <c r="D29" s="71">
        <f>SUM(D27:D28)</f>
        <v>1041.43</v>
      </c>
      <c r="E29" s="72">
        <f>SUM(E27:E28)</f>
        <v>1041.43</v>
      </c>
    </row>
    <row r="30" spans="1:5" ht="32.25" customHeight="1" x14ac:dyDescent="0.25">
      <c r="A30" s="355" t="s">
        <v>198</v>
      </c>
      <c r="B30" s="356"/>
      <c r="C30" s="356"/>
      <c r="D30" s="356"/>
      <c r="E30" s="357"/>
    </row>
    <row r="31" spans="1:5" x14ac:dyDescent="0.25">
      <c r="A31" s="260" t="s">
        <v>201</v>
      </c>
      <c r="B31" s="353" t="s">
        <v>25</v>
      </c>
      <c r="C31" s="354"/>
      <c r="D31" s="218" t="s">
        <v>10</v>
      </c>
      <c r="E31" s="219" t="s">
        <v>10</v>
      </c>
    </row>
    <row r="32" spans="1:5" x14ac:dyDescent="0.25">
      <c r="A32" s="171" t="s">
        <v>0</v>
      </c>
      <c r="B32" s="180" t="s">
        <v>300</v>
      </c>
      <c r="C32" s="173">
        <v>0.2</v>
      </c>
      <c r="D32" s="214">
        <f>(D24+D29)*C32</f>
        <v>1279.73</v>
      </c>
      <c r="E32" s="215">
        <f>(E24+E29)*C32</f>
        <v>1279.73</v>
      </c>
    </row>
    <row r="33" spans="1:5" x14ac:dyDescent="0.25">
      <c r="A33" s="171" t="s">
        <v>2</v>
      </c>
      <c r="B33" s="180" t="s">
        <v>301</v>
      </c>
      <c r="C33" s="181">
        <v>2.5000000000000001E-2</v>
      </c>
      <c r="D33" s="214">
        <f>(D24+D29)*C33</f>
        <v>159.97</v>
      </c>
      <c r="E33" s="215">
        <f>(E24+E29)*C33</f>
        <v>159.97</v>
      </c>
    </row>
    <row r="34" spans="1:5" ht="45" x14ac:dyDescent="0.25">
      <c r="A34" s="171" t="s">
        <v>3</v>
      </c>
      <c r="B34" s="259" t="s">
        <v>302</v>
      </c>
      <c r="C34" s="181">
        <v>0.03</v>
      </c>
      <c r="D34" s="214">
        <f>(D24+D29)*C34</f>
        <v>191.96</v>
      </c>
      <c r="E34" s="215">
        <f>(E24+E29)*C34</f>
        <v>191.96</v>
      </c>
    </row>
    <row r="35" spans="1:5" x14ac:dyDescent="0.25">
      <c r="A35" s="171" t="s">
        <v>5</v>
      </c>
      <c r="B35" s="180" t="s">
        <v>303</v>
      </c>
      <c r="C35" s="181">
        <v>1.4999999999999999E-2</v>
      </c>
      <c r="D35" s="214">
        <f>(D24+D29)*C35</f>
        <v>95.98</v>
      </c>
      <c r="E35" s="215">
        <f>(E24+E29)*C35</f>
        <v>95.98</v>
      </c>
    </row>
    <row r="36" spans="1:5" x14ac:dyDescent="0.25">
      <c r="A36" s="171" t="s">
        <v>20</v>
      </c>
      <c r="B36" s="180" t="s">
        <v>304</v>
      </c>
      <c r="C36" s="181">
        <v>0.01</v>
      </c>
      <c r="D36" s="214">
        <f>(D24+D29)*C36</f>
        <v>63.99</v>
      </c>
      <c r="E36" s="215">
        <f>(E24+E29)*C36</f>
        <v>63.99</v>
      </c>
    </row>
    <row r="37" spans="1:5" x14ac:dyDescent="0.25">
      <c r="A37" s="171" t="s">
        <v>21</v>
      </c>
      <c r="B37" s="182" t="s">
        <v>200</v>
      </c>
      <c r="C37" s="181">
        <v>6.0000000000000001E-3</v>
      </c>
      <c r="D37" s="214">
        <f>(D24+D29)*C37</f>
        <v>38.39</v>
      </c>
      <c r="E37" s="215">
        <f>(E24+E29)*C37</f>
        <v>38.39</v>
      </c>
    </row>
    <row r="38" spans="1:5" ht="30.75" customHeight="1" x14ac:dyDescent="0.25">
      <c r="A38" s="171" t="s">
        <v>22</v>
      </c>
      <c r="B38" s="259" t="s">
        <v>305</v>
      </c>
      <c r="C38" s="181">
        <v>2E-3</v>
      </c>
      <c r="D38" s="214">
        <f>(D24+D29)*C38</f>
        <v>12.8</v>
      </c>
      <c r="E38" s="215">
        <f>(E24+E29)*C38</f>
        <v>12.8</v>
      </c>
    </row>
    <row r="39" spans="1:5" x14ac:dyDescent="0.25">
      <c r="A39" s="171" t="s">
        <v>26</v>
      </c>
      <c r="B39" s="183" t="s">
        <v>199</v>
      </c>
      <c r="C39" s="181">
        <v>0.08</v>
      </c>
      <c r="D39" s="214">
        <f>(D24+D29)*C39</f>
        <v>511.89</v>
      </c>
      <c r="E39" s="215">
        <f>(E24+E29)*C39</f>
        <v>511.89</v>
      </c>
    </row>
    <row r="40" spans="1:5" s="30" customFormat="1" x14ac:dyDescent="0.25">
      <c r="A40" s="322" t="s">
        <v>27</v>
      </c>
      <c r="B40" s="323"/>
      <c r="C40" s="184">
        <f>SUM(C32:C39)</f>
        <v>0.36799999999999999</v>
      </c>
      <c r="D40" s="71">
        <f>SUM(D32:D39)</f>
        <v>2354.71</v>
      </c>
      <c r="E40" s="72">
        <f>SUM(E32:E39)</f>
        <v>2354.71</v>
      </c>
    </row>
    <row r="41" spans="1:5" s="30" customFormat="1" x14ac:dyDescent="0.25">
      <c r="A41" s="187" t="s">
        <v>202</v>
      </c>
      <c r="B41" s="350" t="s">
        <v>203</v>
      </c>
      <c r="C41" s="351"/>
      <c r="D41" s="235" t="s">
        <v>10</v>
      </c>
      <c r="E41" s="188" t="s">
        <v>10</v>
      </c>
    </row>
    <row r="42" spans="1:5" s="30" customFormat="1" x14ac:dyDescent="0.25">
      <c r="A42" s="189" t="s">
        <v>0</v>
      </c>
      <c r="B42" s="190" t="s">
        <v>137</v>
      </c>
      <c r="C42" s="191"/>
      <c r="D42" s="192">
        <v>0</v>
      </c>
      <c r="E42" s="232">
        <v>0</v>
      </c>
    </row>
    <row r="43" spans="1:5" s="30" customFormat="1" x14ac:dyDescent="0.25">
      <c r="A43" s="195" t="s">
        <v>2</v>
      </c>
      <c r="B43" s="164" t="s">
        <v>204</v>
      </c>
      <c r="C43" s="159"/>
      <c r="D43" s="112">
        <f>C43-(C43*0.99%)</f>
        <v>0</v>
      </c>
      <c r="E43" s="196">
        <f>C43-(C43*0.99%)</f>
        <v>0</v>
      </c>
    </row>
    <row r="44" spans="1:5" s="30" customFormat="1" x14ac:dyDescent="0.25">
      <c r="A44" s="171" t="s">
        <v>5</v>
      </c>
      <c r="B44" s="172" t="s">
        <v>129</v>
      </c>
      <c r="C44" s="197"/>
      <c r="D44" s="198">
        <v>0</v>
      </c>
      <c r="E44" s="199">
        <v>0</v>
      </c>
    </row>
    <row r="45" spans="1:5" s="30" customFormat="1" x14ac:dyDescent="0.25">
      <c r="A45" s="171" t="s">
        <v>20</v>
      </c>
      <c r="B45" s="172" t="s">
        <v>130</v>
      </c>
      <c r="C45" s="173"/>
      <c r="D45" s="198">
        <f>D17*C45*0.0199*2/12</f>
        <v>0</v>
      </c>
      <c r="E45" s="199">
        <f>E17*C45*0.0199*2/12</f>
        <v>0</v>
      </c>
    </row>
    <row r="46" spans="1:5" s="30" customFormat="1" x14ac:dyDescent="0.25">
      <c r="A46" s="171" t="s">
        <v>21</v>
      </c>
      <c r="B46" s="172" t="s">
        <v>131</v>
      </c>
      <c r="C46" s="197"/>
      <c r="D46" s="214">
        <v>0</v>
      </c>
      <c r="E46" s="215">
        <v>0</v>
      </c>
    </row>
    <row r="47" spans="1:5" s="30" customFormat="1" ht="15.75" customHeight="1" x14ac:dyDescent="0.25">
      <c r="A47" s="322" t="s">
        <v>23</v>
      </c>
      <c r="B47" s="323"/>
      <c r="C47" s="323"/>
      <c r="D47" s="71">
        <f>SUM(D42:D46)</f>
        <v>0</v>
      </c>
      <c r="E47" s="72">
        <f>SUM(E42:E46)</f>
        <v>0</v>
      </c>
    </row>
    <row r="48" spans="1:5" s="30" customFormat="1" ht="15.75" customHeight="1" x14ac:dyDescent="0.25">
      <c r="A48" s="317" t="s">
        <v>144</v>
      </c>
      <c r="B48" s="318"/>
      <c r="C48" s="318"/>
      <c r="D48" s="318"/>
      <c r="E48" s="377"/>
    </row>
    <row r="49" spans="1:5" s="30" customFormat="1" ht="15.75" customHeight="1" x14ac:dyDescent="0.25">
      <c r="A49" s="272" t="s">
        <v>136</v>
      </c>
      <c r="B49" s="203" t="s">
        <v>138</v>
      </c>
      <c r="C49" s="267"/>
      <c r="D49" s="153">
        <f>D29</f>
        <v>1041.43</v>
      </c>
      <c r="E49" s="154">
        <f>E29</f>
        <v>1041.43</v>
      </c>
    </row>
    <row r="50" spans="1:5" s="30" customFormat="1" ht="15.75" customHeight="1" x14ac:dyDescent="0.25">
      <c r="A50" s="272" t="s">
        <v>201</v>
      </c>
      <c r="B50" s="203" t="s">
        <v>139</v>
      </c>
      <c r="C50" s="267"/>
      <c r="D50" s="153">
        <f>D40</f>
        <v>2354.71</v>
      </c>
      <c r="E50" s="154">
        <f>E40</f>
        <v>2354.71</v>
      </c>
    </row>
    <row r="51" spans="1:5" s="30" customFormat="1" ht="15.75" customHeight="1" x14ac:dyDescent="0.25">
      <c r="A51" s="272" t="s">
        <v>202</v>
      </c>
      <c r="B51" s="203" t="s">
        <v>140</v>
      </c>
      <c r="C51" s="267"/>
      <c r="D51" s="153">
        <f>D47</f>
        <v>0</v>
      </c>
      <c r="E51" s="154">
        <f>E47</f>
        <v>0</v>
      </c>
    </row>
    <row r="52" spans="1:5" s="30" customFormat="1" ht="15.75" customHeight="1" x14ac:dyDescent="0.25">
      <c r="A52" s="313" t="s">
        <v>146</v>
      </c>
      <c r="B52" s="314"/>
      <c r="C52" s="314"/>
      <c r="D52" s="216">
        <f>SUM(D49:D51)</f>
        <v>3396.14</v>
      </c>
      <c r="E52" s="217">
        <f>SUM(E49:E51)</f>
        <v>3396.14</v>
      </c>
    </row>
    <row r="53" spans="1:5" s="30" customFormat="1" ht="15.75" customHeight="1" x14ac:dyDescent="0.25">
      <c r="A53" s="317" t="s">
        <v>155</v>
      </c>
      <c r="B53" s="318"/>
      <c r="C53" s="318"/>
      <c r="D53" s="318"/>
      <c r="E53" s="377"/>
    </row>
    <row r="54" spans="1:5" s="30" customFormat="1" ht="15.75" customHeight="1" x14ac:dyDescent="0.25">
      <c r="A54" s="266" t="s">
        <v>192</v>
      </c>
      <c r="B54" s="309" t="s">
        <v>32</v>
      </c>
      <c r="C54" s="310"/>
      <c r="D54" s="169" t="s">
        <v>10</v>
      </c>
      <c r="E54" s="170" t="s">
        <v>10</v>
      </c>
    </row>
    <row r="55" spans="1:5" s="30" customFormat="1" ht="15.75" customHeight="1" x14ac:dyDescent="0.25">
      <c r="A55" s="171" t="s">
        <v>0</v>
      </c>
      <c r="B55" s="172" t="s">
        <v>33</v>
      </c>
      <c r="C55" s="173">
        <v>4.5999999999999999E-3</v>
      </c>
      <c r="D55" s="214">
        <f>D$24*C55</f>
        <v>24.64</v>
      </c>
      <c r="E55" s="215">
        <f>E$24*C55</f>
        <v>24.64</v>
      </c>
    </row>
    <row r="56" spans="1:5" s="30" customFormat="1" ht="15.75" customHeight="1" x14ac:dyDescent="0.25">
      <c r="A56" s="171" t="s">
        <v>2</v>
      </c>
      <c r="B56" s="172" t="s">
        <v>34</v>
      </c>
      <c r="C56" s="173">
        <v>4.0000000000000002E-4</v>
      </c>
      <c r="D56" s="214">
        <f>D$24*C56</f>
        <v>2.14</v>
      </c>
      <c r="E56" s="215">
        <f>E$24*C56</f>
        <v>2.14</v>
      </c>
    </row>
    <row r="57" spans="1:5" s="30" customFormat="1" ht="15.75" customHeight="1" x14ac:dyDescent="0.25">
      <c r="A57" s="171" t="s">
        <v>3</v>
      </c>
      <c r="B57" s="172" t="s">
        <v>35</v>
      </c>
      <c r="C57" s="173">
        <v>1.9400000000000001E-2</v>
      </c>
      <c r="D57" s="214">
        <f>D$24*C57</f>
        <v>103.93</v>
      </c>
      <c r="E57" s="215">
        <f>E$24*C57</f>
        <v>103.93</v>
      </c>
    </row>
    <row r="58" spans="1:5" s="30" customFormat="1" ht="30" customHeight="1" x14ac:dyDescent="0.25">
      <c r="A58" s="171" t="s">
        <v>5</v>
      </c>
      <c r="B58" s="204" t="s">
        <v>309</v>
      </c>
      <c r="C58" s="173">
        <v>7.7000000000000002E-3</v>
      </c>
      <c r="D58" s="214">
        <f>D$24*C58</f>
        <v>41.25</v>
      </c>
      <c r="E58" s="215">
        <f>E$24*C58</f>
        <v>41.25</v>
      </c>
    </row>
    <row r="59" spans="1:5" s="30" customFormat="1" ht="32.25" customHeight="1" x14ac:dyDescent="0.25">
      <c r="A59" s="171" t="s">
        <v>20</v>
      </c>
      <c r="B59" s="172" t="s">
        <v>205</v>
      </c>
      <c r="C59" s="173">
        <v>0.04</v>
      </c>
      <c r="D59" s="214">
        <f>D$24*C59</f>
        <v>214.29</v>
      </c>
      <c r="E59" s="215">
        <f>E$24*C59</f>
        <v>214.29</v>
      </c>
    </row>
    <row r="60" spans="1:5" s="30" customFormat="1" ht="15.75" customHeight="1" x14ac:dyDescent="0.25">
      <c r="A60" s="313" t="s">
        <v>147</v>
      </c>
      <c r="B60" s="314"/>
      <c r="C60" s="274">
        <f>SUM(C55:C59)</f>
        <v>7.2099999999999997E-2</v>
      </c>
      <c r="D60" s="216">
        <f>SUM(D55:D59)</f>
        <v>386.25</v>
      </c>
      <c r="E60" s="217">
        <f>SUM(E55:E59)</f>
        <v>386.25</v>
      </c>
    </row>
    <row r="61" spans="1:5" s="30" customFormat="1" x14ac:dyDescent="0.25">
      <c r="A61" s="317" t="s">
        <v>156</v>
      </c>
      <c r="B61" s="318"/>
      <c r="C61" s="318"/>
      <c r="D61" s="318"/>
      <c r="E61" s="377"/>
    </row>
    <row r="62" spans="1:5" s="30" customFormat="1" x14ac:dyDescent="0.25">
      <c r="A62" s="266" t="s">
        <v>191</v>
      </c>
      <c r="B62" s="347" t="s">
        <v>36</v>
      </c>
      <c r="C62" s="347"/>
      <c r="D62" s="169" t="s">
        <v>10</v>
      </c>
      <c r="E62" s="170" t="s">
        <v>10</v>
      </c>
    </row>
    <row r="63" spans="1:5" s="30" customFormat="1" x14ac:dyDescent="0.25">
      <c r="A63" s="171" t="s">
        <v>0</v>
      </c>
      <c r="B63" s="172" t="s">
        <v>184</v>
      </c>
      <c r="C63" s="173">
        <f>C28/12</f>
        <v>9.2999999999999992E-3</v>
      </c>
      <c r="D63" s="214">
        <f>(D24+D52+D60+D84)*C63</f>
        <v>85.31</v>
      </c>
      <c r="E63" s="215">
        <f>(E24+E52+E60+E84)*C63</f>
        <v>85.31</v>
      </c>
    </row>
    <row r="64" spans="1:5" s="30" customFormat="1" x14ac:dyDescent="0.25">
      <c r="A64" s="171" t="s">
        <v>2</v>
      </c>
      <c r="B64" s="172" t="s">
        <v>185</v>
      </c>
      <c r="C64" s="173">
        <v>1.3899999999999999E-2</v>
      </c>
      <c r="D64" s="214">
        <f>(D$24+D$52+D$60+D84)*C64</f>
        <v>127.51</v>
      </c>
      <c r="E64" s="215">
        <f>(E$24+E$52+E$60+E84)*C64</f>
        <v>127.51</v>
      </c>
    </row>
    <row r="65" spans="1:5" s="30" customFormat="1" x14ac:dyDescent="0.25">
      <c r="A65" s="171" t="s">
        <v>3</v>
      </c>
      <c r="B65" s="172" t="s">
        <v>188</v>
      </c>
      <c r="C65" s="173">
        <v>1.2999999999999999E-3</v>
      </c>
      <c r="D65" s="214">
        <f>(D$24+D$52+D$60+D$84)*C65</f>
        <v>11.93</v>
      </c>
      <c r="E65" s="215">
        <f>(E$24+E$52+E$60+E$84)*C65</f>
        <v>11.93</v>
      </c>
    </row>
    <row r="66" spans="1:5" s="30" customFormat="1" x14ac:dyDescent="0.25">
      <c r="A66" s="171" t="s">
        <v>5</v>
      </c>
      <c r="B66" s="172" t="s">
        <v>186</v>
      </c>
      <c r="C66" s="173">
        <v>2.0000000000000001E-4</v>
      </c>
      <c r="D66" s="214">
        <f>(D$24+D$52+D$60+D$84)*C66</f>
        <v>1.83</v>
      </c>
      <c r="E66" s="215">
        <f>(E$24+E$52+E$60+E$84)*C66</f>
        <v>1.83</v>
      </c>
    </row>
    <row r="67" spans="1:5" s="30" customFormat="1" x14ac:dyDescent="0.25">
      <c r="A67" s="171" t="s">
        <v>20</v>
      </c>
      <c r="B67" s="172" t="s">
        <v>297</v>
      </c>
      <c r="C67" s="173">
        <v>2.8E-3</v>
      </c>
      <c r="D67" s="214">
        <f>(D$24+D$52+D$60+D$84)*C67</f>
        <v>25.69</v>
      </c>
      <c r="E67" s="215">
        <f>(E$24+E$52+E$60+E$84)*C67</f>
        <v>25.69</v>
      </c>
    </row>
    <row r="68" spans="1:5" s="30" customFormat="1" x14ac:dyDescent="0.25">
      <c r="A68" s="171" t="s">
        <v>21</v>
      </c>
      <c r="B68" s="172" t="s">
        <v>187</v>
      </c>
      <c r="C68" s="173">
        <v>2.9999999999999997E-4</v>
      </c>
      <c r="D68" s="214">
        <f>(D$24+D$52+D$60+D$84)*C68</f>
        <v>2.75</v>
      </c>
      <c r="E68" s="215">
        <f>(E$24+E$52+E$60+E$84)*C68</f>
        <v>2.75</v>
      </c>
    </row>
    <row r="69" spans="1:5" s="30" customFormat="1" ht="15.75" customHeight="1" x14ac:dyDescent="0.25">
      <c r="A69" s="171" t="s">
        <v>22</v>
      </c>
      <c r="B69" s="265" t="s">
        <v>189</v>
      </c>
      <c r="C69" s="173">
        <v>0</v>
      </c>
      <c r="D69" s="214">
        <f>(D$24+D$52+D$60+D$84)*C69</f>
        <v>0</v>
      </c>
      <c r="E69" s="215">
        <f>(E$24+E$52+E$60+E$84)*C69</f>
        <v>0</v>
      </c>
    </row>
    <row r="70" spans="1:5" s="30" customFormat="1" x14ac:dyDescent="0.25">
      <c r="A70" s="322" t="s">
        <v>29</v>
      </c>
      <c r="B70" s="323"/>
      <c r="C70" s="184">
        <f>SUM(C63:C69)</f>
        <v>2.7799999999999998E-2</v>
      </c>
      <c r="D70" s="71">
        <f>SUM(D63:D69)</f>
        <v>255.02</v>
      </c>
      <c r="E70" s="72">
        <f>SUM(E63:E69)</f>
        <v>255.02</v>
      </c>
    </row>
    <row r="71" spans="1:5" s="30" customFormat="1" x14ac:dyDescent="0.25">
      <c r="A71" s="272"/>
      <c r="B71" s="267"/>
      <c r="C71" s="205"/>
      <c r="D71" s="205"/>
      <c r="E71" s="196"/>
    </row>
    <row r="72" spans="1:5" s="30" customFormat="1" x14ac:dyDescent="0.25">
      <c r="A72" s="272"/>
      <c r="B72" s="336" t="s">
        <v>193</v>
      </c>
      <c r="C72" s="352"/>
      <c r="D72" s="169" t="s">
        <v>10</v>
      </c>
      <c r="E72" s="170" t="s">
        <v>10</v>
      </c>
    </row>
    <row r="73" spans="1:5" s="30" customFormat="1" x14ac:dyDescent="0.25">
      <c r="A73" s="195" t="s">
        <v>0</v>
      </c>
      <c r="B73" s="261" t="s">
        <v>194</v>
      </c>
      <c r="C73" s="208">
        <v>0</v>
      </c>
      <c r="D73" s="252">
        <v>0</v>
      </c>
      <c r="E73" s="275">
        <v>0</v>
      </c>
    </row>
    <row r="74" spans="1:5" s="30" customFormat="1" ht="15.75" customHeight="1" x14ac:dyDescent="0.25">
      <c r="A74" s="322" t="s">
        <v>27</v>
      </c>
      <c r="B74" s="323"/>
      <c r="C74" s="209">
        <v>0</v>
      </c>
      <c r="D74" s="71">
        <f>D73</f>
        <v>0</v>
      </c>
      <c r="E74" s="72">
        <f>E73</f>
        <v>0</v>
      </c>
    </row>
    <row r="75" spans="1:5" s="30" customFormat="1" ht="15.75" customHeight="1" x14ac:dyDescent="0.25">
      <c r="A75" s="317" t="s">
        <v>30</v>
      </c>
      <c r="B75" s="318"/>
      <c r="C75" s="318"/>
      <c r="D75" s="318"/>
      <c r="E75" s="377"/>
    </row>
    <row r="76" spans="1:5" s="30" customFormat="1" ht="15.75" customHeight="1" x14ac:dyDescent="0.25">
      <c r="A76" s="348" t="s">
        <v>195</v>
      </c>
      <c r="B76" s="349"/>
      <c r="C76" s="349"/>
      <c r="D76" s="349"/>
      <c r="E76" s="380"/>
    </row>
    <row r="77" spans="1:5" s="30" customFormat="1" ht="15.75" customHeight="1" x14ac:dyDescent="0.25">
      <c r="A77" s="266">
        <v>4</v>
      </c>
      <c r="B77" s="309" t="s">
        <v>206</v>
      </c>
      <c r="C77" s="310"/>
      <c r="D77" s="169" t="s">
        <v>10</v>
      </c>
      <c r="E77" s="170" t="s">
        <v>10</v>
      </c>
    </row>
    <row r="78" spans="1:5" s="30" customFormat="1" ht="15.75" customHeight="1" x14ac:dyDescent="0.25">
      <c r="A78" s="171" t="s">
        <v>191</v>
      </c>
      <c r="B78" s="172" t="s">
        <v>190</v>
      </c>
      <c r="C78" s="173">
        <f>C70</f>
        <v>2.7799999999999998E-2</v>
      </c>
      <c r="D78" s="214">
        <f>D70</f>
        <v>255.02</v>
      </c>
      <c r="E78" s="215">
        <f>E70</f>
        <v>255.02</v>
      </c>
    </row>
    <row r="79" spans="1:5" s="30" customFormat="1" ht="15.75" customHeight="1" x14ac:dyDescent="0.25">
      <c r="A79" s="171" t="s">
        <v>207</v>
      </c>
      <c r="B79" s="172" t="s">
        <v>193</v>
      </c>
      <c r="C79" s="173">
        <v>0</v>
      </c>
      <c r="D79" s="214">
        <f>(D$24+D$52+D$60)*C79</f>
        <v>0</v>
      </c>
      <c r="E79" s="215">
        <f>(E$24+E$52+E$60)*C79</f>
        <v>0</v>
      </c>
    </row>
    <row r="80" spans="1:5" s="30" customFormat="1" ht="15.75" customHeight="1" x14ac:dyDescent="0.25">
      <c r="A80" s="322" t="s">
        <v>27</v>
      </c>
      <c r="B80" s="323"/>
      <c r="C80" s="176">
        <f>SUM(C78:C79)</f>
        <v>2.7799999999999998E-2</v>
      </c>
      <c r="D80" s="71">
        <f>SUM(D78:D79)</f>
        <v>255.02</v>
      </c>
      <c r="E80" s="72">
        <f>SUM(E78:E79)</f>
        <v>255.02</v>
      </c>
    </row>
    <row r="81" spans="1:5" s="30" customFormat="1" ht="15.75" customHeight="1" x14ac:dyDescent="0.25">
      <c r="A81" s="313" t="s">
        <v>148</v>
      </c>
      <c r="B81" s="314"/>
      <c r="C81" s="314"/>
      <c r="D81" s="216">
        <f>SUM(D74+D80)</f>
        <v>255.02</v>
      </c>
      <c r="E81" s="217">
        <f>SUM(E74+E80)</f>
        <v>255.02</v>
      </c>
    </row>
    <row r="82" spans="1:5" s="30" customFormat="1" ht="15.75" customHeight="1" x14ac:dyDescent="0.25">
      <c r="A82" s="311" t="s">
        <v>157</v>
      </c>
      <c r="B82" s="312"/>
      <c r="C82" s="312"/>
      <c r="D82" s="312"/>
      <c r="E82" s="379"/>
    </row>
    <row r="83" spans="1:5" s="30" customFormat="1" ht="15.75" customHeight="1" x14ac:dyDescent="0.25">
      <c r="A83" s="266">
        <v>5</v>
      </c>
      <c r="B83" s="309" t="s">
        <v>24</v>
      </c>
      <c r="C83" s="310"/>
      <c r="D83" s="169" t="s">
        <v>10</v>
      </c>
      <c r="E83" s="170" t="s">
        <v>10</v>
      </c>
    </row>
    <row r="84" spans="1:5" s="30" customFormat="1" ht="15.75" customHeight="1" x14ac:dyDescent="0.25">
      <c r="A84" s="171" t="s">
        <v>0</v>
      </c>
      <c r="B84" s="315" t="s">
        <v>208</v>
      </c>
      <c r="C84" s="315"/>
      <c r="D84" s="214">
        <f>Uniformes!H7</f>
        <v>33.93</v>
      </c>
      <c r="E84" s="215">
        <f>Uniformes!H7</f>
        <v>33.93</v>
      </c>
    </row>
    <row r="85" spans="1:5" s="30" customFormat="1" ht="15.75" customHeight="1" x14ac:dyDescent="0.25">
      <c r="A85" s="171" t="s">
        <v>2</v>
      </c>
      <c r="B85" s="315" t="s">
        <v>209</v>
      </c>
      <c r="C85" s="315"/>
      <c r="D85" s="214">
        <f>Materiais!H20</f>
        <v>40.090000000000003</v>
      </c>
      <c r="E85" s="215">
        <f>Materiais!H21</f>
        <v>40.090000000000003</v>
      </c>
    </row>
    <row r="86" spans="1:5" s="30" customFormat="1" ht="15.75" customHeight="1" x14ac:dyDescent="0.25">
      <c r="A86" s="171" t="s">
        <v>3</v>
      </c>
      <c r="B86" s="315" t="s">
        <v>179</v>
      </c>
      <c r="C86" s="315"/>
      <c r="D86" s="214">
        <f>Equipamentos!H21</f>
        <v>765.63</v>
      </c>
      <c r="E86" s="215">
        <f>Equipamentos!H22</f>
        <v>765.63</v>
      </c>
    </row>
    <row r="87" spans="1:5" s="30" customFormat="1" ht="15.75" customHeight="1" x14ac:dyDescent="0.25">
      <c r="A87" s="171" t="s">
        <v>5</v>
      </c>
      <c r="B87" s="315" t="s">
        <v>132</v>
      </c>
      <c r="C87" s="315"/>
      <c r="D87" s="214">
        <v>0</v>
      </c>
      <c r="E87" s="215">
        <v>0</v>
      </c>
    </row>
    <row r="88" spans="1:5" s="30" customFormat="1" ht="15.75" customHeight="1" x14ac:dyDescent="0.25">
      <c r="A88" s="313" t="s">
        <v>149</v>
      </c>
      <c r="B88" s="314"/>
      <c r="C88" s="314"/>
      <c r="D88" s="216">
        <f>SUM(D84:D87)</f>
        <v>839.65</v>
      </c>
      <c r="E88" s="217">
        <f>SUM(E84:E87)</f>
        <v>839.65</v>
      </c>
    </row>
    <row r="89" spans="1:5" s="30" customFormat="1" ht="30" customHeight="1" x14ac:dyDescent="0.25">
      <c r="A89" s="311" t="s">
        <v>211</v>
      </c>
      <c r="B89" s="312"/>
      <c r="C89" s="312"/>
      <c r="D89" s="241">
        <f>D88+D81+D60+D52+D24</f>
        <v>10234.26</v>
      </c>
      <c r="E89" s="242">
        <f>E88+E81+E60+E52+E24</f>
        <v>10234.26</v>
      </c>
    </row>
    <row r="90" spans="1:5" s="30" customFormat="1" ht="19.5" customHeight="1" x14ac:dyDescent="0.25">
      <c r="A90" s="317" t="s">
        <v>158</v>
      </c>
      <c r="B90" s="318"/>
      <c r="C90" s="318"/>
      <c r="D90" s="318"/>
      <c r="E90" s="377"/>
    </row>
    <row r="91" spans="1:5" s="30" customFormat="1" x14ac:dyDescent="0.25">
      <c r="A91" s="266">
        <v>6</v>
      </c>
      <c r="B91" s="309" t="s">
        <v>38</v>
      </c>
      <c r="C91" s="316"/>
      <c r="D91" s="169" t="s">
        <v>10</v>
      </c>
      <c r="E91" s="170" t="s">
        <v>10</v>
      </c>
    </row>
    <row r="92" spans="1:5" s="30" customFormat="1" x14ac:dyDescent="0.25">
      <c r="A92" s="171" t="s">
        <v>0</v>
      </c>
      <c r="B92" s="172" t="s">
        <v>39</v>
      </c>
      <c r="C92" s="220">
        <v>0.05</v>
      </c>
      <c r="D92" s="214">
        <f>+D89*C92</f>
        <v>511.71</v>
      </c>
      <c r="E92" s="215">
        <f>+E89*C92</f>
        <v>511.71</v>
      </c>
    </row>
    <row r="93" spans="1:5" s="30" customFormat="1" x14ac:dyDescent="0.25">
      <c r="A93" s="171" t="s">
        <v>2</v>
      </c>
      <c r="B93" s="172" t="s">
        <v>40</v>
      </c>
      <c r="C93" s="220">
        <v>0.1</v>
      </c>
      <c r="D93" s="214">
        <f>C93*(+D89+D92)</f>
        <v>1074.5999999999999</v>
      </c>
      <c r="E93" s="215">
        <f>C93*(+E89+E92)</f>
        <v>1074.5999999999999</v>
      </c>
    </row>
    <row r="94" spans="1:5" s="30" customFormat="1" ht="30" x14ac:dyDescent="0.25">
      <c r="A94" s="171"/>
      <c r="B94" s="172" t="s">
        <v>47</v>
      </c>
      <c r="C94" s="173">
        <f>1-C101</f>
        <v>0.85750000000000004</v>
      </c>
      <c r="D94" s="214">
        <f>+D89+D92+D93</f>
        <v>11820.57</v>
      </c>
      <c r="E94" s="215">
        <f>+E89+E92+E93</f>
        <v>11820.57</v>
      </c>
    </row>
    <row r="95" spans="1:5" s="30" customFormat="1" x14ac:dyDescent="0.25">
      <c r="A95" s="171"/>
      <c r="B95" s="265"/>
      <c r="C95" s="40"/>
      <c r="D95" s="243">
        <f>+D94/C94</f>
        <v>13784.92</v>
      </c>
      <c r="E95" s="244">
        <f>+E94/C94</f>
        <v>13784.92</v>
      </c>
    </row>
    <row r="96" spans="1:5" s="30" customFormat="1" x14ac:dyDescent="0.25">
      <c r="A96" s="171" t="s">
        <v>3</v>
      </c>
      <c r="B96" s="265" t="s">
        <v>41</v>
      </c>
      <c r="C96" s="221">
        <f>C98+C99+C100</f>
        <v>0.14249999999999999</v>
      </c>
      <c r="D96" s="243"/>
      <c r="E96" s="244"/>
    </row>
    <row r="97" spans="1:5" s="30" customFormat="1" x14ac:dyDescent="0.25">
      <c r="A97" s="171" t="s">
        <v>289</v>
      </c>
      <c r="B97" s="265" t="s">
        <v>285</v>
      </c>
      <c r="C97" s="250">
        <f>C98+C99</f>
        <v>9.2499999999999999E-2</v>
      </c>
      <c r="D97" s="214"/>
      <c r="E97" s="215"/>
    </row>
    <row r="98" spans="1:5" s="30" customFormat="1" x14ac:dyDescent="0.25">
      <c r="A98" s="171" t="s">
        <v>290</v>
      </c>
      <c r="B98" s="172" t="s">
        <v>286</v>
      </c>
      <c r="C98" s="173">
        <v>1.6500000000000001E-2</v>
      </c>
      <c r="D98" s="214">
        <f>+D95*C98</f>
        <v>227.45</v>
      </c>
      <c r="E98" s="215">
        <f>+E95*C98</f>
        <v>227.45</v>
      </c>
    </row>
    <row r="99" spans="1:5" s="30" customFormat="1" x14ac:dyDescent="0.25">
      <c r="A99" s="171" t="s">
        <v>291</v>
      </c>
      <c r="B99" s="172" t="s">
        <v>287</v>
      </c>
      <c r="C99" s="173">
        <v>7.5999999999999998E-2</v>
      </c>
      <c r="D99" s="214">
        <f>+D95*C99</f>
        <v>1047.6500000000001</v>
      </c>
      <c r="E99" s="215">
        <f>+E95*C99</f>
        <v>1047.6500000000001</v>
      </c>
    </row>
    <row r="100" spans="1:5" s="30" customFormat="1" x14ac:dyDescent="0.25">
      <c r="A100" s="171" t="s">
        <v>292</v>
      </c>
      <c r="B100" s="172" t="s">
        <v>288</v>
      </c>
      <c r="C100" s="173">
        <v>0.05</v>
      </c>
      <c r="D100" s="214">
        <f>+D95*C100</f>
        <v>689.25</v>
      </c>
      <c r="E100" s="215">
        <f>+E95*C100</f>
        <v>689.25</v>
      </c>
    </row>
    <row r="101" spans="1:5" s="30" customFormat="1" x14ac:dyDescent="0.25">
      <c r="A101" s="266"/>
      <c r="B101" s="224" t="s">
        <v>42</v>
      </c>
      <c r="C101" s="225">
        <f>C96</f>
        <v>0.14249999999999999</v>
      </c>
      <c r="D101" s="226">
        <f>SUM(D98:D100)</f>
        <v>1964.35</v>
      </c>
      <c r="E101" s="227">
        <f>SUM(E98:E100)</f>
        <v>1964.35</v>
      </c>
    </row>
    <row r="102" spans="1:5" s="30" customFormat="1" ht="15.75" customHeight="1" x14ac:dyDescent="0.25">
      <c r="A102" s="322" t="s">
        <v>43</v>
      </c>
      <c r="B102" s="323"/>
      <c r="C102" s="323"/>
      <c r="D102" s="71">
        <f>+D92+D93+D101</f>
        <v>3550.66</v>
      </c>
      <c r="E102" s="72">
        <f>+E92+E93+E101</f>
        <v>3550.66</v>
      </c>
    </row>
    <row r="103" spans="1:5" s="30" customFormat="1" ht="15.75" customHeight="1" x14ac:dyDescent="0.25">
      <c r="A103" s="324" t="s">
        <v>44</v>
      </c>
      <c r="B103" s="325"/>
      <c r="C103" s="325"/>
      <c r="D103" s="228" t="s">
        <v>10</v>
      </c>
      <c r="E103" s="229" t="s">
        <v>10</v>
      </c>
    </row>
    <row r="104" spans="1:5" s="30" customFormat="1" x14ac:dyDescent="0.25">
      <c r="A104" s="171" t="s">
        <v>0</v>
      </c>
      <c r="B104" s="326" t="s">
        <v>45</v>
      </c>
      <c r="C104" s="326"/>
      <c r="D104" s="214">
        <f>D24</f>
        <v>5357.2</v>
      </c>
      <c r="E104" s="215">
        <f>E24</f>
        <v>5357.2</v>
      </c>
    </row>
    <row r="105" spans="1:5" s="30" customFormat="1" x14ac:dyDescent="0.25">
      <c r="A105" s="171" t="s">
        <v>2</v>
      </c>
      <c r="B105" s="326" t="s">
        <v>152</v>
      </c>
      <c r="C105" s="326"/>
      <c r="D105" s="214">
        <f>D52</f>
        <v>3396.14</v>
      </c>
      <c r="E105" s="215">
        <f>E52</f>
        <v>3396.14</v>
      </c>
    </row>
    <row r="106" spans="1:5" s="30" customFormat="1" x14ac:dyDescent="0.25">
      <c r="A106" s="171" t="s">
        <v>3</v>
      </c>
      <c r="B106" s="326" t="s">
        <v>150</v>
      </c>
      <c r="C106" s="326"/>
      <c r="D106" s="214">
        <f>D60</f>
        <v>386.25</v>
      </c>
      <c r="E106" s="215">
        <f>E60</f>
        <v>386.25</v>
      </c>
    </row>
    <row r="107" spans="1:5" s="30" customFormat="1" x14ac:dyDescent="0.25">
      <c r="A107" s="171" t="s">
        <v>5</v>
      </c>
      <c r="B107" s="326" t="s">
        <v>143</v>
      </c>
      <c r="C107" s="326"/>
      <c r="D107" s="214">
        <f>D81</f>
        <v>255.02</v>
      </c>
      <c r="E107" s="215">
        <f>E81</f>
        <v>255.02</v>
      </c>
    </row>
    <row r="108" spans="1:5" s="30" customFormat="1" x14ac:dyDescent="0.25">
      <c r="A108" s="171" t="s">
        <v>20</v>
      </c>
      <c r="B108" s="326" t="s">
        <v>151</v>
      </c>
      <c r="C108" s="326"/>
      <c r="D108" s="214">
        <f>D88</f>
        <v>839.65</v>
      </c>
      <c r="E108" s="215">
        <f>E88</f>
        <v>839.65</v>
      </c>
    </row>
    <row r="109" spans="1:5" s="30" customFormat="1" ht="15.75" customHeight="1" x14ac:dyDescent="0.25">
      <c r="A109" s="327" t="s">
        <v>295</v>
      </c>
      <c r="B109" s="328"/>
      <c r="C109" s="328"/>
      <c r="D109" s="226">
        <f>SUM(D104:D108)</f>
        <v>10234.26</v>
      </c>
      <c r="E109" s="227">
        <f>SUM(E104:E108)</f>
        <v>10234.26</v>
      </c>
    </row>
    <row r="110" spans="1:5" s="30" customFormat="1" x14ac:dyDescent="0.25">
      <c r="A110" s="171" t="s">
        <v>21</v>
      </c>
      <c r="B110" s="326" t="s">
        <v>154</v>
      </c>
      <c r="C110" s="326"/>
      <c r="D110" s="214">
        <f>+D102</f>
        <v>3550.66</v>
      </c>
      <c r="E110" s="215">
        <f>+E102</f>
        <v>3550.66</v>
      </c>
    </row>
    <row r="111" spans="1:5" s="30" customFormat="1" ht="16.5" customHeight="1" thickBot="1" x14ac:dyDescent="0.3">
      <c r="A111" s="319" t="s">
        <v>46</v>
      </c>
      <c r="B111" s="320"/>
      <c r="C111" s="320"/>
      <c r="D111" s="247">
        <f>+D109+D110</f>
        <v>13784.92</v>
      </c>
      <c r="E111" s="248">
        <f>+E109+E110</f>
        <v>13784.92</v>
      </c>
    </row>
    <row r="112" spans="1:5" x14ac:dyDescent="0.25">
      <c r="C112" s="31"/>
      <c r="D112" s="31"/>
    </row>
    <row r="113" spans="2:4" x14ac:dyDescent="0.25">
      <c r="B113" s="28"/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29"/>
      <c r="D115" s="29"/>
    </row>
    <row r="116" spans="2:4" x14ac:dyDescent="0.25">
      <c r="B116" s="28"/>
      <c r="C116" s="31"/>
      <c r="D116" s="31"/>
    </row>
    <row r="118" spans="2:4" x14ac:dyDescent="0.25">
      <c r="B118" s="36"/>
    </row>
    <row r="123" spans="2:4" x14ac:dyDescent="0.25">
      <c r="B123" s="28"/>
    </row>
  </sheetData>
  <mergeCells count="61">
    <mergeCell ref="C5:E5"/>
    <mergeCell ref="A1:E1"/>
    <mergeCell ref="A2:E2"/>
    <mergeCell ref="C3:E3"/>
    <mergeCell ref="C4:E4"/>
    <mergeCell ref="A24:C24"/>
    <mergeCell ref="C6:E6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A60:B60"/>
    <mergeCell ref="B54:C54"/>
    <mergeCell ref="A25:C25"/>
    <mergeCell ref="B26:C26"/>
    <mergeCell ref="A29:B29"/>
    <mergeCell ref="A30:E30"/>
    <mergeCell ref="B31:C31"/>
    <mergeCell ref="A40:B40"/>
    <mergeCell ref="B41:C41"/>
    <mergeCell ref="A47:C47"/>
    <mergeCell ref="A48:E48"/>
    <mergeCell ref="A52:C52"/>
    <mergeCell ref="A53:E53"/>
    <mergeCell ref="A82:E82"/>
    <mergeCell ref="A61:E61"/>
    <mergeCell ref="B62:C62"/>
    <mergeCell ref="A70:B70"/>
    <mergeCell ref="B72:C72"/>
    <mergeCell ref="A74:B74"/>
    <mergeCell ref="A75:E75"/>
    <mergeCell ref="A76:E76"/>
    <mergeCell ref="B77:C77"/>
    <mergeCell ref="A80:B80"/>
    <mergeCell ref="A81:C81"/>
    <mergeCell ref="A103:C103"/>
    <mergeCell ref="B83:C83"/>
    <mergeCell ref="B84:C84"/>
    <mergeCell ref="B85:C85"/>
    <mergeCell ref="B86:C86"/>
    <mergeCell ref="B87:C87"/>
    <mergeCell ref="A88:C88"/>
    <mergeCell ref="A89:C89"/>
    <mergeCell ref="A90:E90"/>
    <mergeCell ref="B91:C91"/>
    <mergeCell ref="A102:C102"/>
    <mergeCell ref="B110:C110"/>
    <mergeCell ref="A111:C111"/>
    <mergeCell ref="B104:C104"/>
    <mergeCell ref="B105:C105"/>
    <mergeCell ref="B106:C106"/>
    <mergeCell ref="B107:C107"/>
    <mergeCell ref="B108:C108"/>
    <mergeCell ref="A109:C109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31" zoomScaleNormal="115" zoomScaleSheetLayoutView="100" workbookViewId="0">
      <selection activeCell="F6" sqref="F6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361"/>
      <c r="B1" s="362"/>
      <c r="C1" s="362"/>
      <c r="D1" s="362"/>
      <c r="E1" s="363"/>
    </row>
    <row r="2" spans="1:5" s="38" customFormat="1" ht="16.5" customHeight="1" x14ac:dyDescent="0.25">
      <c r="A2" s="333" t="s">
        <v>127</v>
      </c>
      <c r="B2" s="334"/>
      <c r="C2" s="334"/>
      <c r="D2" s="334"/>
      <c r="E2" s="335"/>
    </row>
    <row r="3" spans="1:5" s="38" customFormat="1" ht="15.75" customHeight="1" x14ac:dyDescent="0.25">
      <c r="A3" s="83" t="s">
        <v>0</v>
      </c>
      <c r="B3" s="145" t="s">
        <v>1</v>
      </c>
      <c r="C3" s="364">
        <v>2025</v>
      </c>
      <c r="D3" s="364"/>
      <c r="E3" s="365"/>
    </row>
    <row r="4" spans="1:5" s="38" customFormat="1" ht="75" customHeight="1" x14ac:dyDescent="0.25">
      <c r="A4" s="83" t="s">
        <v>2</v>
      </c>
      <c r="B4" s="145" t="s">
        <v>135</v>
      </c>
      <c r="C4" s="366" t="s">
        <v>248</v>
      </c>
      <c r="D4" s="366"/>
      <c r="E4" s="367"/>
    </row>
    <row r="5" spans="1:5" s="38" customFormat="1" ht="15.75" customHeight="1" x14ac:dyDescent="0.25">
      <c r="A5" s="83" t="s">
        <v>3</v>
      </c>
      <c r="B5" s="145" t="s">
        <v>4</v>
      </c>
      <c r="C5" s="366" t="s">
        <v>256</v>
      </c>
      <c r="D5" s="366"/>
      <c r="E5" s="367"/>
    </row>
    <row r="6" spans="1:5" s="38" customFormat="1" x14ac:dyDescent="0.25">
      <c r="A6" s="83" t="s">
        <v>5</v>
      </c>
      <c r="B6" s="145" t="s">
        <v>299</v>
      </c>
      <c r="C6" s="366">
        <v>12</v>
      </c>
      <c r="D6" s="366"/>
      <c r="E6" s="367"/>
    </row>
    <row r="7" spans="1:5" s="38" customFormat="1" x14ac:dyDescent="0.25">
      <c r="A7" s="344" t="s">
        <v>6</v>
      </c>
      <c r="B7" s="345"/>
      <c r="C7" s="345"/>
      <c r="D7" s="345"/>
      <c r="E7" s="346"/>
    </row>
    <row r="8" spans="1:5" s="38" customFormat="1" x14ac:dyDescent="0.25">
      <c r="A8" s="344" t="s">
        <v>7</v>
      </c>
      <c r="B8" s="345"/>
      <c r="C8" s="345"/>
      <c r="D8" s="345"/>
      <c r="E8" s="346"/>
    </row>
    <row r="9" spans="1:5" s="38" customFormat="1" ht="15.75" customHeight="1" x14ac:dyDescent="0.25">
      <c r="A9" s="344" t="s">
        <v>8</v>
      </c>
      <c r="B9" s="345"/>
      <c r="C9" s="345"/>
      <c r="D9" s="345"/>
      <c r="E9" s="346"/>
    </row>
    <row r="10" spans="1:5" s="38" customFormat="1" ht="30" customHeight="1" x14ac:dyDescent="0.25">
      <c r="A10" s="358" t="s">
        <v>9</v>
      </c>
      <c r="B10" s="331"/>
      <c r="C10" s="331"/>
      <c r="D10" s="370" t="s">
        <v>10</v>
      </c>
      <c r="E10" s="371"/>
    </row>
    <row r="11" spans="1:5" s="38" customFormat="1" ht="60" customHeight="1" x14ac:dyDescent="0.25">
      <c r="A11" s="83">
        <v>1</v>
      </c>
      <c r="B11" s="268" t="s">
        <v>128</v>
      </c>
      <c r="C11" s="337" t="s">
        <v>249</v>
      </c>
      <c r="D11" s="337"/>
      <c r="E11" s="338"/>
    </row>
    <row r="12" spans="1:5" s="38" customFormat="1" ht="30" customHeight="1" x14ac:dyDescent="0.25">
      <c r="A12" s="83">
        <v>2</v>
      </c>
      <c r="B12" s="268" t="s">
        <v>11</v>
      </c>
      <c r="C12" s="359">
        <v>4750</v>
      </c>
      <c r="D12" s="359"/>
      <c r="E12" s="360"/>
    </row>
    <row r="13" spans="1:5" s="38" customFormat="1" ht="15.75" customHeight="1" x14ac:dyDescent="0.25">
      <c r="A13" s="83">
        <v>3</v>
      </c>
      <c r="B13" s="268" t="s">
        <v>12</v>
      </c>
      <c r="C13" s="337" t="s">
        <v>224</v>
      </c>
      <c r="D13" s="337"/>
      <c r="E13" s="338"/>
    </row>
    <row r="14" spans="1:5" s="38" customFormat="1" x14ac:dyDescent="0.25">
      <c r="A14" s="83">
        <v>4</v>
      </c>
      <c r="B14" s="269" t="s">
        <v>13</v>
      </c>
      <c r="C14" s="340">
        <v>2025</v>
      </c>
      <c r="D14" s="340"/>
      <c r="E14" s="341"/>
    </row>
    <row r="15" spans="1:5" s="39" customFormat="1" ht="30" x14ac:dyDescent="0.25">
      <c r="A15" s="329" t="s">
        <v>14</v>
      </c>
      <c r="B15" s="330"/>
      <c r="C15" s="330"/>
      <c r="D15" s="146" t="s">
        <v>252</v>
      </c>
      <c r="E15" s="148" t="s">
        <v>254</v>
      </c>
    </row>
    <row r="16" spans="1:5" s="39" customFormat="1" x14ac:dyDescent="0.25">
      <c r="A16" s="272">
        <v>1</v>
      </c>
      <c r="B16" s="336" t="s">
        <v>15</v>
      </c>
      <c r="C16" s="336"/>
      <c r="D16" s="149" t="s">
        <v>10</v>
      </c>
      <c r="E16" s="150" t="s">
        <v>10</v>
      </c>
    </row>
    <row r="17" spans="1:5" s="38" customFormat="1" ht="15.75" customHeight="1" x14ac:dyDescent="0.25">
      <c r="A17" s="151" t="s">
        <v>0</v>
      </c>
      <c r="B17" s="152" t="s">
        <v>16</v>
      </c>
      <c r="C17" s="269"/>
      <c r="D17" s="112">
        <f>C12</f>
        <v>4750</v>
      </c>
      <c r="E17" s="196">
        <f>C12</f>
        <v>4750</v>
      </c>
    </row>
    <row r="18" spans="1:5" s="38" customFormat="1" ht="15.75" customHeight="1" x14ac:dyDescent="0.25">
      <c r="A18" s="151" t="s">
        <v>2</v>
      </c>
      <c r="B18" s="152" t="s">
        <v>17</v>
      </c>
      <c r="C18" s="155"/>
      <c r="D18" s="192"/>
      <c r="E18" s="232"/>
    </row>
    <row r="19" spans="1:5" s="38" customFormat="1" ht="15.75" customHeight="1" x14ac:dyDescent="0.25">
      <c r="A19" s="151" t="s">
        <v>3</v>
      </c>
      <c r="B19" s="152" t="s">
        <v>18</v>
      </c>
      <c r="C19" s="158">
        <v>1518</v>
      </c>
      <c r="D19" s="192">
        <f>40%*C19</f>
        <v>607.20000000000005</v>
      </c>
      <c r="E19" s="232">
        <f>40%*C19</f>
        <v>607.20000000000005</v>
      </c>
    </row>
    <row r="20" spans="1:5" s="38" customFormat="1" ht="15.75" customHeight="1" x14ac:dyDescent="0.25">
      <c r="A20" s="151" t="s">
        <v>5</v>
      </c>
      <c r="B20" s="152" t="s">
        <v>19</v>
      </c>
      <c r="C20" s="155"/>
      <c r="D20" s="192">
        <f>((((D17+D19)/220)*20%)*8)*15</f>
        <v>584.41999999999996</v>
      </c>
      <c r="E20" s="232">
        <f>((((E17+E19)/220)*20%)*8)*15</f>
        <v>584.41999999999996</v>
      </c>
    </row>
    <row r="21" spans="1:5" s="38" customFormat="1" ht="15.75" customHeight="1" x14ac:dyDescent="0.25">
      <c r="A21" s="151" t="s">
        <v>20</v>
      </c>
      <c r="B21" s="152" t="s">
        <v>196</v>
      </c>
      <c r="C21" s="155"/>
      <c r="D21" s="192"/>
      <c r="E21" s="232"/>
    </row>
    <row r="22" spans="1:5" s="38" customFormat="1" x14ac:dyDescent="0.25">
      <c r="A22" s="151" t="s">
        <v>21</v>
      </c>
      <c r="B22" s="152" t="s">
        <v>133</v>
      </c>
      <c r="C22" s="161"/>
      <c r="D22" s="192"/>
      <c r="E22" s="232"/>
    </row>
    <row r="23" spans="1:5" s="38" customFormat="1" ht="15.75" customHeight="1" x14ac:dyDescent="0.25">
      <c r="A23" s="151" t="s">
        <v>22</v>
      </c>
      <c r="B23" s="164" t="s">
        <v>134</v>
      </c>
      <c r="C23" s="161"/>
      <c r="D23" s="192"/>
      <c r="E23" s="232"/>
    </row>
    <row r="24" spans="1:5" s="39" customFormat="1" ht="15.75" customHeight="1" x14ac:dyDescent="0.25">
      <c r="A24" s="313" t="s">
        <v>145</v>
      </c>
      <c r="B24" s="314"/>
      <c r="C24" s="314"/>
      <c r="D24" s="216">
        <f>SUM(D17:D23)</f>
        <v>5941.62</v>
      </c>
      <c r="E24" s="217">
        <f>SUM(E17:E23)</f>
        <v>5941.62</v>
      </c>
    </row>
    <row r="25" spans="1:5" s="39" customFormat="1" x14ac:dyDescent="0.25">
      <c r="A25" s="329" t="s">
        <v>48</v>
      </c>
      <c r="B25" s="330"/>
      <c r="C25" s="330"/>
      <c r="D25" s="330"/>
      <c r="E25" s="376"/>
    </row>
    <row r="26" spans="1:5" s="38" customFormat="1" x14ac:dyDescent="0.25">
      <c r="A26" s="266" t="s">
        <v>136</v>
      </c>
      <c r="B26" s="309" t="s">
        <v>197</v>
      </c>
      <c r="C26" s="316"/>
      <c r="D26" s="169" t="s">
        <v>10</v>
      </c>
      <c r="E26" s="170" t="s">
        <v>10</v>
      </c>
    </row>
    <row r="27" spans="1:5" s="38" customFormat="1" x14ac:dyDescent="0.25">
      <c r="A27" s="171" t="s">
        <v>0</v>
      </c>
      <c r="B27" s="172" t="s">
        <v>28</v>
      </c>
      <c r="C27" s="173">
        <f>1/12</f>
        <v>8.3299999999999999E-2</v>
      </c>
      <c r="D27" s="214">
        <f>(D24)*C27</f>
        <v>494.94</v>
      </c>
      <c r="E27" s="215">
        <f>(E24)*C27</f>
        <v>494.94</v>
      </c>
    </row>
    <row r="28" spans="1:5" s="38" customFormat="1" x14ac:dyDescent="0.25">
      <c r="A28" s="171" t="s">
        <v>2</v>
      </c>
      <c r="B28" s="172" t="s">
        <v>141</v>
      </c>
      <c r="C28" s="173">
        <v>0.1111</v>
      </c>
      <c r="D28" s="214">
        <f>(D24)*C28</f>
        <v>660.11</v>
      </c>
      <c r="E28" s="215">
        <f>(E24)*C28</f>
        <v>660.11</v>
      </c>
    </row>
    <row r="29" spans="1:5" x14ac:dyDescent="0.25">
      <c r="A29" s="322" t="s">
        <v>27</v>
      </c>
      <c r="B29" s="323"/>
      <c r="C29" s="176">
        <f>SUM(C27:C28)</f>
        <v>0.19439999999999999</v>
      </c>
      <c r="D29" s="71">
        <f>SUM(D27:D28)</f>
        <v>1155.05</v>
      </c>
      <c r="E29" s="72">
        <f>SUM(E27:E28)</f>
        <v>1155.05</v>
      </c>
    </row>
    <row r="30" spans="1:5" ht="32.25" customHeight="1" x14ac:dyDescent="0.25">
      <c r="A30" s="355" t="s">
        <v>182</v>
      </c>
      <c r="B30" s="356"/>
      <c r="C30" s="356"/>
      <c r="D30" s="356"/>
      <c r="E30" s="357"/>
    </row>
    <row r="31" spans="1:5" x14ac:dyDescent="0.25">
      <c r="A31" s="260" t="s">
        <v>136</v>
      </c>
      <c r="B31" s="353" t="s">
        <v>25</v>
      </c>
      <c r="C31" s="354"/>
      <c r="D31" s="218" t="s">
        <v>10</v>
      </c>
      <c r="E31" s="219" t="s">
        <v>10</v>
      </c>
    </row>
    <row r="32" spans="1:5" x14ac:dyDescent="0.25">
      <c r="A32" s="171" t="s">
        <v>0</v>
      </c>
      <c r="B32" s="180" t="s">
        <v>300</v>
      </c>
      <c r="C32" s="173">
        <v>0.2</v>
      </c>
      <c r="D32" s="214">
        <f t="shared" ref="D32:D39" si="0">($D$24+D$29)*C32</f>
        <v>1419.33</v>
      </c>
      <c r="E32" s="215">
        <f t="shared" ref="E32:E39" si="1">($E$24+E$29)*C32</f>
        <v>1419.33</v>
      </c>
    </row>
    <row r="33" spans="1:5" x14ac:dyDescent="0.25">
      <c r="A33" s="171" t="s">
        <v>2</v>
      </c>
      <c r="B33" s="180" t="s">
        <v>301</v>
      </c>
      <c r="C33" s="181">
        <v>2.5000000000000001E-2</v>
      </c>
      <c r="D33" s="214">
        <f t="shared" si="0"/>
        <v>177.42</v>
      </c>
      <c r="E33" s="215">
        <f t="shared" si="1"/>
        <v>177.42</v>
      </c>
    </row>
    <row r="34" spans="1:5" ht="45" x14ac:dyDescent="0.25">
      <c r="A34" s="171" t="s">
        <v>3</v>
      </c>
      <c r="B34" s="259" t="s">
        <v>302</v>
      </c>
      <c r="C34" s="181">
        <v>0.03</v>
      </c>
      <c r="D34" s="214">
        <f t="shared" si="0"/>
        <v>212.9</v>
      </c>
      <c r="E34" s="215">
        <f t="shared" si="1"/>
        <v>212.9</v>
      </c>
    </row>
    <row r="35" spans="1:5" x14ac:dyDescent="0.25">
      <c r="A35" s="171" t="s">
        <v>5</v>
      </c>
      <c r="B35" s="180" t="s">
        <v>303</v>
      </c>
      <c r="C35" s="181">
        <v>1.4999999999999999E-2</v>
      </c>
      <c r="D35" s="214">
        <f t="shared" si="0"/>
        <v>106.45</v>
      </c>
      <c r="E35" s="215">
        <f t="shared" si="1"/>
        <v>106.45</v>
      </c>
    </row>
    <row r="36" spans="1:5" x14ac:dyDescent="0.25">
      <c r="A36" s="171" t="s">
        <v>20</v>
      </c>
      <c r="B36" s="180" t="s">
        <v>304</v>
      </c>
      <c r="C36" s="181">
        <v>0.01</v>
      </c>
      <c r="D36" s="214">
        <f t="shared" si="0"/>
        <v>70.97</v>
      </c>
      <c r="E36" s="215">
        <f t="shared" si="1"/>
        <v>70.97</v>
      </c>
    </row>
    <row r="37" spans="1:5" x14ac:dyDescent="0.25">
      <c r="A37" s="171" t="s">
        <v>21</v>
      </c>
      <c r="B37" s="182" t="s">
        <v>200</v>
      </c>
      <c r="C37" s="181">
        <v>6.0000000000000001E-3</v>
      </c>
      <c r="D37" s="214">
        <f t="shared" si="0"/>
        <v>42.58</v>
      </c>
      <c r="E37" s="215">
        <f t="shared" si="1"/>
        <v>42.58</v>
      </c>
    </row>
    <row r="38" spans="1:5" ht="30" x14ac:dyDescent="0.25">
      <c r="A38" s="171" t="s">
        <v>22</v>
      </c>
      <c r="B38" s="259" t="s">
        <v>305</v>
      </c>
      <c r="C38" s="181">
        <v>2E-3</v>
      </c>
      <c r="D38" s="214">
        <f t="shared" si="0"/>
        <v>14.19</v>
      </c>
      <c r="E38" s="215">
        <f t="shared" si="1"/>
        <v>14.19</v>
      </c>
    </row>
    <row r="39" spans="1:5" x14ac:dyDescent="0.25">
      <c r="A39" s="171" t="s">
        <v>26</v>
      </c>
      <c r="B39" s="183" t="s">
        <v>199</v>
      </c>
      <c r="C39" s="181">
        <v>0.08</v>
      </c>
      <c r="D39" s="214">
        <f t="shared" si="0"/>
        <v>567.73</v>
      </c>
      <c r="E39" s="215">
        <f t="shared" si="1"/>
        <v>567.73</v>
      </c>
    </row>
    <row r="40" spans="1:5" s="30" customFormat="1" x14ac:dyDescent="0.25">
      <c r="A40" s="322" t="s">
        <v>27</v>
      </c>
      <c r="B40" s="323"/>
      <c r="C40" s="184">
        <f>SUM(C32:C39)</f>
        <v>0.36799999999999999</v>
      </c>
      <c r="D40" s="71">
        <f>SUM(D32:D39)</f>
        <v>2611.5700000000002</v>
      </c>
      <c r="E40" s="72">
        <f>SUM(E32:E39)</f>
        <v>2611.5700000000002</v>
      </c>
    </row>
    <row r="41" spans="1:5" s="30" customFormat="1" x14ac:dyDescent="0.25">
      <c r="A41" s="317" t="s">
        <v>166</v>
      </c>
      <c r="B41" s="318"/>
      <c r="C41" s="318"/>
      <c r="D41" s="318"/>
      <c r="E41" s="377"/>
    </row>
    <row r="42" spans="1:5" s="30" customFormat="1" x14ac:dyDescent="0.25">
      <c r="A42" s="187" t="s">
        <v>202</v>
      </c>
      <c r="B42" s="350" t="s">
        <v>203</v>
      </c>
      <c r="C42" s="351"/>
      <c r="D42" s="270"/>
      <c r="E42" s="273"/>
    </row>
    <row r="43" spans="1:5" s="30" customFormat="1" x14ac:dyDescent="0.25">
      <c r="A43" s="189" t="s">
        <v>0</v>
      </c>
      <c r="B43" s="190" t="s">
        <v>137</v>
      </c>
      <c r="C43" s="191"/>
      <c r="D43" s="236">
        <v>0</v>
      </c>
      <c r="E43" s="276">
        <v>0</v>
      </c>
    </row>
    <row r="44" spans="1:5" s="30" customFormat="1" x14ac:dyDescent="0.25">
      <c r="A44" s="195" t="s">
        <v>2</v>
      </c>
      <c r="B44" s="164" t="s">
        <v>183</v>
      </c>
      <c r="C44" s="159"/>
      <c r="D44" s="112">
        <v>0</v>
      </c>
      <c r="E44" s="196">
        <v>0</v>
      </c>
    </row>
    <row r="45" spans="1:5" s="30" customFormat="1" x14ac:dyDescent="0.25">
      <c r="A45" s="171" t="s">
        <v>3</v>
      </c>
      <c r="B45" s="172" t="s">
        <v>129</v>
      </c>
      <c r="C45" s="174"/>
      <c r="D45" s="198">
        <v>0</v>
      </c>
      <c r="E45" s="199">
        <v>0</v>
      </c>
    </row>
    <row r="46" spans="1:5" s="30" customFormat="1" x14ac:dyDescent="0.25">
      <c r="A46" s="171" t="s">
        <v>5</v>
      </c>
      <c r="B46" s="172" t="s">
        <v>130</v>
      </c>
      <c r="C46" s="173"/>
      <c r="D46" s="198">
        <f>(D17*C46*0.0199*2)/12</f>
        <v>0</v>
      </c>
      <c r="E46" s="199">
        <f>(E17*C46*0.0199*2)/12</f>
        <v>0</v>
      </c>
    </row>
    <row r="47" spans="1:5" s="30" customFormat="1" x14ac:dyDescent="0.25">
      <c r="A47" s="171" t="s">
        <v>20</v>
      </c>
      <c r="B47" s="172" t="s">
        <v>131</v>
      </c>
      <c r="C47" s="174"/>
      <c r="D47" s="214">
        <v>0</v>
      </c>
      <c r="E47" s="215">
        <v>0</v>
      </c>
    </row>
    <row r="48" spans="1:5" s="30" customFormat="1" ht="15.75" customHeight="1" x14ac:dyDescent="0.25">
      <c r="A48" s="322" t="s">
        <v>23</v>
      </c>
      <c r="B48" s="323"/>
      <c r="C48" s="323"/>
      <c r="D48" s="71">
        <f>SUM(D43:D47)</f>
        <v>0</v>
      </c>
      <c r="E48" s="72">
        <f>SUM(E43:E47)</f>
        <v>0</v>
      </c>
    </row>
    <row r="49" spans="1:5" s="30" customFormat="1" ht="15.75" customHeight="1" x14ac:dyDescent="0.25">
      <c r="A49" s="317" t="s">
        <v>210</v>
      </c>
      <c r="B49" s="318"/>
      <c r="C49" s="318"/>
      <c r="D49" s="318"/>
      <c r="E49" s="377"/>
    </row>
    <row r="50" spans="1:5" s="30" customFormat="1" ht="15.75" customHeight="1" x14ac:dyDescent="0.25">
      <c r="A50" s="272" t="s">
        <v>136</v>
      </c>
      <c r="B50" s="203" t="s">
        <v>138</v>
      </c>
      <c r="C50" s="267"/>
      <c r="D50" s="153">
        <f>D29</f>
        <v>1155.05</v>
      </c>
      <c r="E50" s="154">
        <f>E29</f>
        <v>1155.05</v>
      </c>
    </row>
    <row r="51" spans="1:5" s="30" customFormat="1" ht="15.75" customHeight="1" x14ac:dyDescent="0.25">
      <c r="A51" s="272" t="s">
        <v>201</v>
      </c>
      <c r="B51" s="203" t="s">
        <v>139</v>
      </c>
      <c r="C51" s="267"/>
      <c r="D51" s="153">
        <f>D40</f>
        <v>2611.5700000000002</v>
      </c>
      <c r="E51" s="154">
        <f>E40</f>
        <v>2611.5700000000002</v>
      </c>
    </row>
    <row r="52" spans="1:5" s="30" customFormat="1" ht="15.75" customHeight="1" x14ac:dyDescent="0.25">
      <c r="A52" s="272" t="s">
        <v>202</v>
      </c>
      <c r="B52" s="203" t="s">
        <v>140</v>
      </c>
      <c r="C52" s="267"/>
      <c r="D52" s="153">
        <f>D48</f>
        <v>0</v>
      </c>
      <c r="E52" s="154">
        <f>E48</f>
        <v>0</v>
      </c>
    </row>
    <row r="53" spans="1:5" s="30" customFormat="1" ht="15.75" customHeight="1" x14ac:dyDescent="0.25">
      <c r="A53" s="313" t="s">
        <v>146</v>
      </c>
      <c r="B53" s="314"/>
      <c r="C53" s="314"/>
      <c r="D53" s="216">
        <f>SUM(D50:D52)</f>
        <v>3766.62</v>
      </c>
      <c r="E53" s="217">
        <f>SUM(E50:E52)</f>
        <v>3766.62</v>
      </c>
    </row>
    <row r="54" spans="1:5" s="30" customFormat="1" ht="15.75" customHeight="1" x14ac:dyDescent="0.25">
      <c r="A54" s="329" t="s">
        <v>155</v>
      </c>
      <c r="B54" s="330"/>
      <c r="C54" s="330"/>
      <c r="D54" s="330"/>
      <c r="E54" s="376"/>
    </row>
    <row r="55" spans="1:5" s="30" customFormat="1" ht="15.75" customHeight="1" x14ac:dyDescent="0.25">
      <c r="A55" s="266" t="s">
        <v>192</v>
      </c>
      <c r="B55" s="309" t="s">
        <v>32</v>
      </c>
      <c r="C55" s="310"/>
      <c r="D55" s="169" t="s">
        <v>10</v>
      </c>
      <c r="E55" s="170" t="s">
        <v>10</v>
      </c>
    </row>
    <row r="56" spans="1:5" s="30" customFormat="1" ht="15.75" customHeight="1" x14ac:dyDescent="0.25">
      <c r="A56" s="171" t="s">
        <v>0</v>
      </c>
      <c r="B56" s="172" t="s">
        <v>33</v>
      </c>
      <c r="C56" s="173">
        <v>4.5999999999999999E-3</v>
      </c>
      <c r="D56" s="214">
        <f>D$24*C56</f>
        <v>27.33</v>
      </c>
      <c r="E56" s="215">
        <f>E$24*C56</f>
        <v>27.33</v>
      </c>
    </row>
    <row r="57" spans="1:5" s="30" customFormat="1" ht="15.75" customHeight="1" x14ac:dyDescent="0.25">
      <c r="A57" s="171" t="s">
        <v>2</v>
      </c>
      <c r="B57" s="172" t="s">
        <v>34</v>
      </c>
      <c r="C57" s="173">
        <v>4.0000000000000002E-4</v>
      </c>
      <c r="D57" s="214">
        <f>D$24*C57</f>
        <v>2.38</v>
      </c>
      <c r="E57" s="215">
        <f>E$24*C57</f>
        <v>2.38</v>
      </c>
    </row>
    <row r="58" spans="1:5" s="30" customFormat="1" ht="15.75" customHeight="1" x14ac:dyDescent="0.25">
      <c r="A58" s="171" t="s">
        <v>3</v>
      </c>
      <c r="B58" s="239" t="s">
        <v>35</v>
      </c>
      <c r="C58" s="173">
        <v>1.9400000000000001E-2</v>
      </c>
      <c r="D58" s="214">
        <f>D$24*C58</f>
        <v>115.27</v>
      </c>
      <c r="E58" s="215">
        <f>E$24*C58</f>
        <v>115.27</v>
      </c>
    </row>
    <row r="59" spans="1:5" s="30" customFormat="1" ht="30.75" customHeight="1" x14ac:dyDescent="0.25">
      <c r="A59" s="171" t="s">
        <v>5</v>
      </c>
      <c r="B59" s="172" t="s">
        <v>309</v>
      </c>
      <c r="C59" s="173">
        <v>7.7000000000000002E-3</v>
      </c>
      <c r="D59" s="214">
        <f>D$24*C59</f>
        <v>45.75</v>
      </c>
      <c r="E59" s="215">
        <f>E$24*C59</f>
        <v>45.75</v>
      </c>
    </row>
    <row r="60" spans="1:5" s="30" customFormat="1" ht="15.75" customHeight="1" x14ac:dyDescent="0.25">
      <c r="A60" s="171" t="s">
        <v>20</v>
      </c>
      <c r="B60" s="172" t="s">
        <v>142</v>
      </c>
      <c r="C60" s="173">
        <v>0.04</v>
      </c>
      <c r="D60" s="214">
        <f>D$24*C60</f>
        <v>237.66</v>
      </c>
      <c r="E60" s="215">
        <f>E$24*C60</f>
        <v>237.66</v>
      </c>
    </row>
    <row r="61" spans="1:5" s="30" customFormat="1" ht="15.75" customHeight="1" x14ac:dyDescent="0.25">
      <c r="A61" s="313" t="s">
        <v>147</v>
      </c>
      <c r="B61" s="314"/>
      <c r="C61" s="274">
        <f>SUM(C56:C60)</f>
        <v>7.2099999999999997E-2</v>
      </c>
      <c r="D61" s="216">
        <f>SUM(D56:D60)</f>
        <v>428.39</v>
      </c>
      <c r="E61" s="217">
        <f>SUM(E56:E60)</f>
        <v>428.39</v>
      </c>
    </row>
    <row r="62" spans="1:5" s="30" customFormat="1" x14ac:dyDescent="0.25">
      <c r="A62" s="329" t="s">
        <v>156</v>
      </c>
      <c r="B62" s="330"/>
      <c r="C62" s="330"/>
      <c r="D62" s="330"/>
      <c r="E62" s="376"/>
    </row>
    <row r="63" spans="1:5" s="30" customFormat="1" x14ac:dyDescent="0.25">
      <c r="A63" s="266" t="s">
        <v>191</v>
      </c>
      <c r="B63" s="347" t="s">
        <v>190</v>
      </c>
      <c r="C63" s="347"/>
      <c r="D63" s="169" t="s">
        <v>10</v>
      </c>
      <c r="E63" s="170" t="s">
        <v>10</v>
      </c>
    </row>
    <row r="64" spans="1:5" s="30" customFormat="1" x14ac:dyDescent="0.25">
      <c r="A64" s="171" t="s">
        <v>0</v>
      </c>
      <c r="B64" s="172" t="s">
        <v>184</v>
      </c>
      <c r="C64" s="173">
        <f>C28/12</f>
        <v>9.2999999999999992E-3</v>
      </c>
      <c r="D64" s="214">
        <f t="shared" ref="D64:D70" si="2">(D$24+D$53+D$61+D$85)*C64</f>
        <v>94.59</v>
      </c>
      <c r="E64" s="215">
        <f t="shared" ref="E64:E70" si="3">(E$24+E$53+E$61+E$85)*C64</f>
        <v>94.59</v>
      </c>
    </row>
    <row r="65" spans="1:5" s="30" customFormat="1" x14ac:dyDescent="0.25">
      <c r="A65" s="171" t="s">
        <v>2</v>
      </c>
      <c r="B65" s="172" t="s">
        <v>185</v>
      </c>
      <c r="C65" s="173">
        <v>1.3899999999999999E-2</v>
      </c>
      <c r="D65" s="214">
        <f t="shared" si="2"/>
        <v>141.37</v>
      </c>
      <c r="E65" s="215">
        <f t="shared" si="3"/>
        <v>141.37</v>
      </c>
    </row>
    <row r="66" spans="1:5" s="30" customFormat="1" x14ac:dyDescent="0.25">
      <c r="A66" s="171" t="s">
        <v>3</v>
      </c>
      <c r="B66" s="172" t="s">
        <v>188</v>
      </c>
      <c r="C66" s="173">
        <v>1.2999999999999999E-3</v>
      </c>
      <c r="D66" s="214">
        <f t="shared" si="2"/>
        <v>13.22</v>
      </c>
      <c r="E66" s="215">
        <f t="shared" si="3"/>
        <v>13.22</v>
      </c>
    </row>
    <row r="67" spans="1:5" s="30" customFormat="1" x14ac:dyDescent="0.25">
      <c r="A67" s="171" t="s">
        <v>5</v>
      </c>
      <c r="B67" s="172" t="s">
        <v>186</v>
      </c>
      <c r="C67" s="173">
        <v>2.0000000000000001E-4</v>
      </c>
      <c r="D67" s="214">
        <f t="shared" si="2"/>
        <v>2.0299999999999998</v>
      </c>
      <c r="E67" s="215">
        <f t="shared" si="3"/>
        <v>2.0299999999999998</v>
      </c>
    </row>
    <row r="68" spans="1:5" s="30" customFormat="1" x14ac:dyDescent="0.25">
      <c r="A68" s="171" t="s">
        <v>20</v>
      </c>
      <c r="B68" s="172" t="s">
        <v>297</v>
      </c>
      <c r="C68" s="173">
        <v>2.8E-3</v>
      </c>
      <c r="D68" s="214">
        <f t="shared" si="2"/>
        <v>28.48</v>
      </c>
      <c r="E68" s="215">
        <f t="shared" si="3"/>
        <v>28.48</v>
      </c>
    </row>
    <row r="69" spans="1:5" s="30" customFormat="1" x14ac:dyDescent="0.25">
      <c r="A69" s="171" t="s">
        <v>21</v>
      </c>
      <c r="B69" s="172" t="s">
        <v>187</v>
      </c>
      <c r="C69" s="173">
        <v>2.9999999999999997E-4</v>
      </c>
      <c r="D69" s="214">
        <f t="shared" si="2"/>
        <v>3.05</v>
      </c>
      <c r="E69" s="215">
        <f t="shared" si="3"/>
        <v>3.05</v>
      </c>
    </row>
    <row r="70" spans="1:5" s="30" customFormat="1" ht="15.75" customHeight="1" x14ac:dyDescent="0.25">
      <c r="A70" s="171" t="s">
        <v>22</v>
      </c>
      <c r="B70" s="265" t="s">
        <v>189</v>
      </c>
      <c r="C70" s="173">
        <v>0</v>
      </c>
      <c r="D70" s="214">
        <f t="shared" si="2"/>
        <v>0</v>
      </c>
      <c r="E70" s="215">
        <f t="shared" si="3"/>
        <v>0</v>
      </c>
    </row>
    <row r="71" spans="1:5" s="30" customFormat="1" x14ac:dyDescent="0.25">
      <c r="A71" s="322" t="s">
        <v>29</v>
      </c>
      <c r="B71" s="323"/>
      <c r="C71" s="184">
        <f>SUM(C64:C70)</f>
        <v>2.7799999999999998E-2</v>
      </c>
      <c r="D71" s="71">
        <f>SUM(D64:D70)</f>
        <v>282.74</v>
      </c>
      <c r="E71" s="72">
        <f>SUM(E64:E70)</f>
        <v>282.74</v>
      </c>
    </row>
    <row r="72" spans="1:5" s="30" customFormat="1" x14ac:dyDescent="0.25">
      <c r="A72" s="272"/>
      <c r="B72" s="267"/>
      <c r="C72" s="205"/>
      <c r="D72" s="205"/>
      <c r="E72" s="196"/>
    </row>
    <row r="73" spans="1:5" s="30" customFormat="1" x14ac:dyDescent="0.25">
      <c r="A73" s="272"/>
      <c r="B73" s="336" t="s">
        <v>193</v>
      </c>
      <c r="C73" s="352"/>
      <c r="D73" s="169" t="s">
        <v>10</v>
      </c>
      <c r="E73" s="170" t="s">
        <v>10</v>
      </c>
    </row>
    <row r="74" spans="1:5" s="30" customFormat="1" x14ac:dyDescent="0.25">
      <c r="A74" s="171" t="s">
        <v>0</v>
      </c>
      <c r="B74" s="172" t="s">
        <v>194</v>
      </c>
      <c r="C74" s="173">
        <v>0</v>
      </c>
      <c r="D74" s="214">
        <f>(D$24+D$53+D$61)*C74</f>
        <v>0</v>
      </c>
      <c r="E74" s="215">
        <f>(E$24+E$53+E$61)*C74</f>
        <v>0</v>
      </c>
    </row>
    <row r="75" spans="1:5" s="30" customFormat="1" ht="15.75" customHeight="1" x14ac:dyDescent="0.25">
      <c r="A75" s="322" t="s">
        <v>27</v>
      </c>
      <c r="B75" s="323"/>
      <c r="C75" s="209">
        <f>C74</f>
        <v>0</v>
      </c>
      <c r="D75" s="71">
        <f>D74</f>
        <v>0</v>
      </c>
      <c r="E75" s="72">
        <f>E74</f>
        <v>0</v>
      </c>
    </row>
    <row r="76" spans="1:5" s="30" customFormat="1" ht="15.75" customHeight="1" x14ac:dyDescent="0.25">
      <c r="A76" s="317" t="s">
        <v>30</v>
      </c>
      <c r="B76" s="318"/>
      <c r="C76" s="318"/>
      <c r="D76" s="318"/>
      <c r="E76" s="377"/>
    </row>
    <row r="77" spans="1:5" s="30" customFormat="1" ht="15.75" customHeight="1" x14ac:dyDescent="0.25">
      <c r="A77" s="372" t="s">
        <v>195</v>
      </c>
      <c r="B77" s="373"/>
      <c r="C77" s="373"/>
      <c r="D77" s="373"/>
      <c r="E77" s="378"/>
    </row>
    <row r="78" spans="1:5" s="30" customFormat="1" ht="15.75" customHeight="1" x14ac:dyDescent="0.25">
      <c r="A78" s="266">
        <v>4</v>
      </c>
      <c r="B78" s="309" t="s">
        <v>31</v>
      </c>
      <c r="C78" s="310"/>
      <c r="D78" s="169" t="s">
        <v>10</v>
      </c>
      <c r="E78" s="170" t="s">
        <v>10</v>
      </c>
    </row>
    <row r="79" spans="1:5" s="30" customFormat="1" ht="15.75" customHeight="1" x14ac:dyDescent="0.25">
      <c r="A79" s="171" t="s">
        <v>191</v>
      </c>
      <c r="B79" s="265" t="s">
        <v>190</v>
      </c>
      <c r="C79" s="173">
        <f>C71</f>
        <v>2.7799999999999998E-2</v>
      </c>
      <c r="D79" s="214">
        <f>D71</f>
        <v>282.74</v>
      </c>
      <c r="E79" s="215">
        <f>E71</f>
        <v>282.74</v>
      </c>
    </row>
    <row r="80" spans="1:5" s="30" customFormat="1" ht="15.75" customHeight="1" x14ac:dyDescent="0.25">
      <c r="A80" s="171" t="s">
        <v>207</v>
      </c>
      <c r="B80" s="265" t="s">
        <v>193</v>
      </c>
      <c r="C80" s="173">
        <v>0</v>
      </c>
      <c r="D80" s="214">
        <f>(D$24+D$53+D$61)*C80</f>
        <v>0</v>
      </c>
      <c r="E80" s="215">
        <f>(E$24+E$53+E$61)*C80</f>
        <v>0</v>
      </c>
    </row>
    <row r="81" spans="1:5" s="30" customFormat="1" ht="15.75" customHeight="1" x14ac:dyDescent="0.25">
      <c r="A81" s="322" t="s">
        <v>27</v>
      </c>
      <c r="B81" s="323"/>
      <c r="C81" s="176">
        <f>SUM(C79:C80)</f>
        <v>2.7799999999999998E-2</v>
      </c>
      <c r="D81" s="71">
        <f>SUM(D79:D80)</f>
        <v>282.74</v>
      </c>
      <c r="E81" s="72">
        <f>SUM(E79:E80)</f>
        <v>282.74</v>
      </c>
    </row>
    <row r="82" spans="1:5" s="30" customFormat="1" ht="15.75" customHeight="1" x14ac:dyDescent="0.25">
      <c r="A82" s="313" t="s">
        <v>148</v>
      </c>
      <c r="B82" s="314"/>
      <c r="C82" s="314"/>
      <c r="D82" s="216">
        <f>SUM(D75+D81)</f>
        <v>282.74</v>
      </c>
      <c r="E82" s="217">
        <f>SUM(E75+E81)</f>
        <v>282.74</v>
      </c>
    </row>
    <row r="83" spans="1:5" s="30" customFormat="1" ht="15.75" customHeight="1" x14ac:dyDescent="0.25">
      <c r="A83" s="329" t="s">
        <v>157</v>
      </c>
      <c r="B83" s="330"/>
      <c r="C83" s="330"/>
      <c r="D83" s="330"/>
      <c r="E83" s="376"/>
    </row>
    <row r="84" spans="1:5" s="30" customFormat="1" ht="15.75" customHeight="1" x14ac:dyDescent="0.25">
      <c r="A84" s="266">
        <v>5</v>
      </c>
      <c r="B84" s="309" t="s">
        <v>24</v>
      </c>
      <c r="C84" s="310"/>
      <c r="D84" s="169" t="s">
        <v>10</v>
      </c>
      <c r="E84" s="170" t="s">
        <v>10</v>
      </c>
    </row>
    <row r="85" spans="1:5" s="30" customFormat="1" ht="15.75" customHeight="1" x14ac:dyDescent="0.25">
      <c r="A85" s="195" t="s">
        <v>0</v>
      </c>
      <c r="B85" s="315" t="s">
        <v>208</v>
      </c>
      <c r="C85" s="315"/>
      <c r="D85" s="214">
        <f>Uniformes!H7</f>
        <v>33.93</v>
      </c>
      <c r="E85" s="215">
        <f>Uniformes!H7</f>
        <v>33.93</v>
      </c>
    </row>
    <row r="86" spans="1:5" s="30" customFormat="1" ht="15.75" customHeight="1" x14ac:dyDescent="0.25">
      <c r="A86" s="195" t="s">
        <v>2</v>
      </c>
      <c r="B86" s="315" t="s">
        <v>209</v>
      </c>
      <c r="C86" s="315"/>
      <c r="D86" s="214">
        <f>Materiais!H20</f>
        <v>40.090000000000003</v>
      </c>
      <c r="E86" s="215">
        <f>Materiais!H21</f>
        <v>40.090000000000003</v>
      </c>
    </row>
    <row r="87" spans="1:5" s="30" customFormat="1" ht="15.75" customHeight="1" x14ac:dyDescent="0.25">
      <c r="A87" s="195" t="s">
        <v>3</v>
      </c>
      <c r="B87" s="315" t="s">
        <v>179</v>
      </c>
      <c r="C87" s="315"/>
      <c r="D87" s="214">
        <f>Equipamentos!H21</f>
        <v>765.63</v>
      </c>
      <c r="E87" s="215">
        <f>Equipamentos!H22</f>
        <v>765.63</v>
      </c>
    </row>
    <row r="88" spans="1:5" s="30" customFormat="1" ht="15.75" customHeight="1" x14ac:dyDescent="0.25">
      <c r="A88" s="195" t="s">
        <v>5</v>
      </c>
      <c r="B88" s="315" t="s">
        <v>132</v>
      </c>
      <c r="C88" s="315"/>
      <c r="D88" s="214">
        <v>0</v>
      </c>
      <c r="E88" s="215">
        <v>0</v>
      </c>
    </row>
    <row r="89" spans="1:5" s="30" customFormat="1" ht="15.75" customHeight="1" x14ac:dyDescent="0.25">
      <c r="A89" s="313" t="s">
        <v>149</v>
      </c>
      <c r="B89" s="314"/>
      <c r="C89" s="314"/>
      <c r="D89" s="216">
        <f>SUM(D85:D88)</f>
        <v>839.65</v>
      </c>
      <c r="E89" s="217">
        <f>SUM(E85:E88)</f>
        <v>839.65</v>
      </c>
    </row>
    <row r="90" spans="1:5" s="30" customFormat="1" ht="30" customHeight="1" x14ac:dyDescent="0.25">
      <c r="A90" s="311" t="s">
        <v>211</v>
      </c>
      <c r="B90" s="312"/>
      <c r="C90" s="312"/>
      <c r="D90" s="241">
        <f>D89+D82+D61+D53+D24</f>
        <v>11259.02</v>
      </c>
      <c r="E90" s="242">
        <f>E89+E82+E61+E53+E24</f>
        <v>11259.02</v>
      </c>
    </row>
    <row r="91" spans="1:5" s="30" customFormat="1" ht="19.5" customHeight="1" x14ac:dyDescent="0.25">
      <c r="A91" s="329" t="s">
        <v>158</v>
      </c>
      <c r="B91" s="330"/>
      <c r="C91" s="330"/>
      <c r="D91" s="330"/>
      <c r="E91" s="376"/>
    </row>
    <row r="92" spans="1:5" s="30" customFormat="1" x14ac:dyDescent="0.25">
      <c r="A92" s="266">
        <v>6</v>
      </c>
      <c r="B92" s="309" t="s">
        <v>38</v>
      </c>
      <c r="C92" s="316"/>
      <c r="D92" s="169" t="s">
        <v>10</v>
      </c>
      <c r="E92" s="170" t="s">
        <v>10</v>
      </c>
    </row>
    <row r="93" spans="1:5" s="30" customFormat="1" x14ac:dyDescent="0.25">
      <c r="A93" s="171" t="s">
        <v>0</v>
      </c>
      <c r="B93" s="172" t="s">
        <v>39</v>
      </c>
      <c r="C93" s="220">
        <v>0.05</v>
      </c>
      <c r="D93" s="214">
        <f>+D90*C93</f>
        <v>562.95000000000005</v>
      </c>
      <c r="E93" s="215">
        <f>+E90*C93</f>
        <v>562.95000000000005</v>
      </c>
    </row>
    <row r="94" spans="1:5" s="30" customFormat="1" x14ac:dyDescent="0.25">
      <c r="A94" s="171" t="s">
        <v>2</v>
      </c>
      <c r="B94" s="172" t="s">
        <v>40</v>
      </c>
      <c r="C94" s="220">
        <v>0.1</v>
      </c>
      <c r="D94" s="214">
        <f>C94*(+D90+D93)</f>
        <v>1182.2</v>
      </c>
      <c r="E94" s="215">
        <f>C94*(+E90+E93)</f>
        <v>1182.2</v>
      </c>
    </row>
    <row r="95" spans="1:5" s="30" customFormat="1" ht="30" x14ac:dyDescent="0.25">
      <c r="A95" s="171"/>
      <c r="B95" s="172" t="s">
        <v>47</v>
      </c>
      <c r="C95" s="173">
        <f>1-C102</f>
        <v>0.85750000000000004</v>
      </c>
      <c r="D95" s="214">
        <f>+D90+D93+D94</f>
        <v>13004.17</v>
      </c>
      <c r="E95" s="215">
        <f>+E90+E93+E94</f>
        <v>13004.17</v>
      </c>
    </row>
    <row r="96" spans="1:5" s="30" customFormat="1" x14ac:dyDescent="0.25">
      <c r="A96" s="171"/>
      <c r="B96" s="265"/>
      <c r="C96" s="40"/>
      <c r="D96" s="243">
        <f>+D95/C95</f>
        <v>15165.21</v>
      </c>
      <c r="E96" s="244">
        <f>+E95/C95</f>
        <v>15165.21</v>
      </c>
    </row>
    <row r="97" spans="1:5" s="30" customFormat="1" x14ac:dyDescent="0.25">
      <c r="A97" s="171" t="s">
        <v>3</v>
      </c>
      <c r="B97" s="265" t="s">
        <v>41</v>
      </c>
      <c r="C97" s="221">
        <f>C99+C100+C101</f>
        <v>0.14249999999999999</v>
      </c>
      <c r="D97" s="243"/>
      <c r="E97" s="244"/>
    </row>
    <row r="98" spans="1:5" s="30" customFormat="1" x14ac:dyDescent="0.25">
      <c r="A98" s="171" t="s">
        <v>289</v>
      </c>
      <c r="B98" s="265" t="s">
        <v>285</v>
      </c>
      <c r="C98" s="250">
        <f>C99+C100</f>
        <v>9.2499999999999999E-2</v>
      </c>
      <c r="D98" s="214"/>
      <c r="E98" s="215"/>
    </row>
    <row r="99" spans="1:5" s="30" customFormat="1" x14ac:dyDescent="0.25">
      <c r="A99" s="171" t="s">
        <v>290</v>
      </c>
      <c r="B99" s="172" t="s">
        <v>286</v>
      </c>
      <c r="C99" s="173">
        <v>1.6500000000000001E-2</v>
      </c>
      <c r="D99" s="214">
        <f>+D96*C99</f>
        <v>250.23</v>
      </c>
      <c r="E99" s="215">
        <f>+E96*C99</f>
        <v>250.23</v>
      </c>
    </row>
    <row r="100" spans="1:5" s="30" customFormat="1" x14ac:dyDescent="0.25">
      <c r="A100" s="171" t="s">
        <v>291</v>
      </c>
      <c r="B100" s="172" t="s">
        <v>287</v>
      </c>
      <c r="C100" s="173">
        <v>7.5999999999999998E-2</v>
      </c>
      <c r="D100" s="214">
        <f>+D96*C100</f>
        <v>1152.56</v>
      </c>
      <c r="E100" s="215">
        <f>+E96*C100</f>
        <v>1152.56</v>
      </c>
    </row>
    <row r="101" spans="1:5" s="30" customFormat="1" x14ac:dyDescent="0.25">
      <c r="A101" s="171" t="s">
        <v>292</v>
      </c>
      <c r="B101" s="172" t="s">
        <v>288</v>
      </c>
      <c r="C101" s="173">
        <v>0.05</v>
      </c>
      <c r="D101" s="214">
        <f>+D96*C101</f>
        <v>758.26</v>
      </c>
      <c r="E101" s="215">
        <f>+E96*C101</f>
        <v>758.26</v>
      </c>
    </row>
    <row r="102" spans="1:5" s="30" customFormat="1" x14ac:dyDescent="0.25">
      <c r="A102" s="266"/>
      <c r="B102" s="224" t="s">
        <v>42</v>
      </c>
      <c r="C102" s="225">
        <f>C97</f>
        <v>0.14249999999999999</v>
      </c>
      <c r="D102" s="214">
        <f>SUM(D99:D101)</f>
        <v>2161.0500000000002</v>
      </c>
      <c r="E102" s="215">
        <f>SUM(E99:E101)</f>
        <v>2161.0500000000002</v>
      </c>
    </row>
    <row r="103" spans="1:5" s="30" customFormat="1" ht="15.75" customHeight="1" x14ac:dyDescent="0.25">
      <c r="A103" s="322" t="s">
        <v>43</v>
      </c>
      <c r="B103" s="323"/>
      <c r="C103" s="323"/>
      <c r="D103" s="71">
        <f>+D93+D94+D102</f>
        <v>3906.2</v>
      </c>
      <c r="E103" s="72">
        <f>+E93+E94+E102</f>
        <v>3906.2</v>
      </c>
    </row>
    <row r="104" spans="1:5" s="30" customFormat="1" ht="15.75" customHeight="1" x14ac:dyDescent="0.25">
      <c r="A104" s="374" t="s">
        <v>44</v>
      </c>
      <c r="B104" s="375"/>
      <c r="C104" s="375"/>
      <c r="D104" s="245" t="s">
        <v>10</v>
      </c>
      <c r="E104" s="246" t="s">
        <v>10</v>
      </c>
    </row>
    <row r="105" spans="1:5" s="30" customFormat="1" x14ac:dyDescent="0.25">
      <c r="A105" s="171" t="s">
        <v>0</v>
      </c>
      <c r="B105" s="326" t="s">
        <v>45</v>
      </c>
      <c r="C105" s="326"/>
      <c r="D105" s="214">
        <f>+D24</f>
        <v>5941.62</v>
      </c>
      <c r="E105" s="215">
        <f>+E24</f>
        <v>5941.62</v>
      </c>
    </row>
    <row r="106" spans="1:5" s="30" customFormat="1" x14ac:dyDescent="0.25">
      <c r="A106" s="171" t="s">
        <v>2</v>
      </c>
      <c r="B106" s="326" t="s">
        <v>152</v>
      </c>
      <c r="C106" s="326"/>
      <c r="D106" s="214">
        <f>+D53</f>
        <v>3766.62</v>
      </c>
      <c r="E106" s="215">
        <f>+E53</f>
        <v>3766.62</v>
      </c>
    </row>
    <row r="107" spans="1:5" s="30" customFormat="1" x14ac:dyDescent="0.25">
      <c r="A107" s="171" t="s">
        <v>3</v>
      </c>
      <c r="B107" s="326" t="s">
        <v>150</v>
      </c>
      <c r="C107" s="326"/>
      <c r="D107" s="214">
        <f>D61</f>
        <v>428.39</v>
      </c>
      <c r="E107" s="215">
        <f>E61</f>
        <v>428.39</v>
      </c>
    </row>
    <row r="108" spans="1:5" s="30" customFormat="1" x14ac:dyDescent="0.25">
      <c r="A108" s="171" t="s">
        <v>5</v>
      </c>
      <c r="B108" s="326" t="s">
        <v>143</v>
      </c>
      <c r="C108" s="326"/>
      <c r="D108" s="214">
        <f>D82</f>
        <v>282.74</v>
      </c>
      <c r="E108" s="215">
        <f>E82</f>
        <v>282.74</v>
      </c>
    </row>
    <row r="109" spans="1:5" s="30" customFormat="1" x14ac:dyDescent="0.25">
      <c r="A109" s="171" t="s">
        <v>20</v>
      </c>
      <c r="B109" s="326" t="s">
        <v>151</v>
      </c>
      <c r="C109" s="326"/>
      <c r="D109" s="214">
        <f>D89</f>
        <v>839.65</v>
      </c>
      <c r="E109" s="215">
        <f>E89</f>
        <v>839.65</v>
      </c>
    </row>
    <row r="110" spans="1:5" s="30" customFormat="1" ht="15.75" customHeight="1" x14ac:dyDescent="0.25">
      <c r="A110" s="327" t="s">
        <v>295</v>
      </c>
      <c r="B110" s="328"/>
      <c r="C110" s="328"/>
      <c r="D110" s="226">
        <f>SUM(D105:D109)</f>
        <v>11259.02</v>
      </c>
      <c r="E110" s="227">
        <f>SUM(E105:E109)</f>
        <v>11259.02</v>
      </c>
    </row>
    <row r="111" spans="1:5" s="30" customFormat="1" x14ac:dyDescent="0.25">
      <c r="A111" s="171" t="s">
        <v>21</v>
      </c>
      <c r="B111" s="326" t="s">
        <v>154</v>
      </c>
      <c r="C111" s="326"/>
      <c r="D111" s="214">
        <f>+D103</f>
        <v>3906.2</v>
      </c>
      <c r="E111" s="215">
        <f>+E103</f>
        <v>3906.2</v>
      </c>
    </row>
    <row r="112" spans="1:5" s="30" customFormat="1" ht="16.5" customHeight="1" thickBot="1" x14ac:dyDescent="0.3">
      <c r="A112" s="319" t="s">
        <v>46</v>
      </c>
      <c r="B112" s="320"/>
      <c r="C112" s="320"/>
      <c r="D112" s="247">
        <f>+D110+D111</f>
        <v>15165.22</v>
      </c>
      <c r="E112" s="248">
        <f>+E110+E111</f>
        <v>15165.22</v>
      </c>
    </row>
    <row r="113" spans="2:5" x14ac:dyDescent="0.25">
      <c r="C113" s="31"/>
      <c r="D113" s="31"/>
      <c r="E113" s="33"/>
    </row>
    <row r="114" spans="2:5" x14ac:dyDescent="0.25">
      <c r="B114" s="28"/>
      <c r="C114" s="31"/>
      <c r="D114" s="31"/>
      <c r="E114" s="34"/>
    </row>
    <row r="115" spans="2:5" x14ac:dyDescent="0.25">
      <c r="B115" s="28"/>
      <c r="C115" s="31"/>
      <c r="D115" s="31"/>
      <c r="E115" s="34" t="s">
        <v>126</v>
      </c>
    </row>
    <row r="116" spans="2:5" x14ac:dyDescent="0.25">
      <c r="B116" s="28"/>
      <c r="C116" s="321"/>
      <c r="D116" s="321"/>
      <c r="E116" s="321"/>
    </row>
    <row r="117" spans="2:5" x14ac:dyDescent="0.25">
      <c r="B117" s="28"/>
      <c r="C117" s="31"/>
      <c r="D117" s="31"/>
      <c r="E117" s="35"/>
    </row>
    <row r="119" spans="2:5" x14ac:dyDescent="0.25">
      <c r="B119" s="36"/>
    </row>
    <row r="124" spans="2:5" x14ac:dyDescent="0.25">
      <c r="B124" s="28"/>
    </row>
  </sheetData>
  <mergeCells count="63">
    <mergeCell ref="C5:E5"/>
    <mergeCell ref="A1:E1"/>
    <mergeCell ref="A2:E2"/>
    <mergeCell ref="C3:E3"/>
    <mergeCell ref="C4:E4"/>
    <mergeCell ref="A24:C24"/>
    <mergeCell ref="C6:E6"/>
    <mergeCell ref="A7:E7"/>
    <mergeCell ref="A8:E8"/>
    <mergeCell ref="A9:E9"/>
    <mergeCell ref="A10:C10"/>
    <mergeCell ref="C11:E11"/>
    <mergeCell ref="C12:E12"/>
    <mergeCell ref="C13:E13"/>
    <mergeCell ref="C14:E14"/>
    <mergeCell ref="A15:C15"/>
    <mergeCell ref="B16:C16"/>
    <mergeCell ref="D10:E10"/>
    <mergeCell ref="A54:E54"/>
    <mergeCell ref="A25:E25"/>
    <mergeCell ref="B26:C26"/>
    <mergeCell ref="A29:B29"/>
    <mergeCell ref="A30:E30"/>
    <mergeCell ref="B31:C31"/>
    <mergeCell ref="A40:B40"/>
    <mergeCell ref="A41:E41"/>
    <mergeCell ref="B42:C42"/>
    <mergeCell ref="A48:C48"/>
    <mergeCell ref="A49:E49"/>
    <mergeCell ref="A53:C53"/>
    <mergeCell ref="A82:C82"/>
    <mergeCell ref="B55:C55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61:B61"/>
    <mergeCell ref="A103:C103"/>
    <mergeCell ref="A83:E83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110:C110"/>
    <mergeCell ref="B111:C111"/>
    <mergeCell ref="A112:C112"/>
    <mergeCell ref="C116:E116"/>
    <mergeCell ref="A104:C104"/>
    <mergeCell ref="B105:C105"/>
    <mergeCell ref="B106:C106"/>
    <mergeCell ref="B107:C107"/>
    <mergeCell ref="B108:C108"/>
    <mergeCell ref="B109:C109"/>
  </mergeCells>
  <hyperlinks>
    <hyperlink ref="B37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Tiago Resende da Silva</cp:lastModifiedBy>
  <cp:lastPrinted>2025-04-24T17:21:07Z</cp:lastPrinted>
  <dcterms:created xsi:type="dcterms:W3CDTF">2014-04-11T01:53:38Z</dcterms:created>
  <dcterms:modified xsi:type="dcterms:W3CDTF">2025-05-16T15:50:59Z</dcterms:modified>
</cp:coreProperties>
</file>